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d.docs.live.net/f85b8ef764165b6e/Attachments/"/>
    </mc:Choice>
  </mc:AlternateContent>
  <xr:revisionPtr revIDLastSave="0" documentId="8_{417243A1-DA22-654A-8239-21C75DAE8AA4}" xr6:coauthVersionLast="47" xr6:coauthVersionMax="47" xr10:uidLastSave="{00000000-0000-0000-0000-000000000000}"/>
  <bookViews>
    <workbookView xWindow="0" yWindow="740" windowWidth="26400" windowHeight="14320" xr2:uid="{E082A2DC-28DC-48C1-9D9B-E0A0C15A7624}"/>
  </bookViews>
  <sheets>
    <sheet name="Promedios" sheetId="2" r:id="rId1"/>
    <sheet name="Cotizacion No. 1" sheetId="1" r:id="rId2"/>
    <sheet name="Cotizacion No. 2" sheetId="3" r:id="rId3"/>
    <sheet name="Cotizacion No. 3" sheetId="4" r:id="rId4"/>
  </sheets>
  <definedNames>
    <definedName name="_xlnm.Print_Area" localSheetId="0">Promedios!$A$1:$H$9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 l="1"/>
  <c r="F6" i="2"/>
  <c r="F5" i="2"/>
  <c r="F4" i="2"/>
  <c r="F3" i="2"/>
  <c r="E7" i="2"/>
  <c r="E6" i="2"/>
  <c r="E5" i="2"/>
  <c r="E4" i="2"/>
  <c r="E3" i="2"/>
  <c r="U3" i="2"/>
  <c r="Q5" i="3"/>
  <c r="F8" i="1"/>
  <c r="G4" i="2"/>
  <c r="H4" i="2"/>
  <c r="G5" i="2"/>
  <c r="H5" i="2"/>
  <c r="G6" i="2"/>
  <c r="H6" i="2"/>
  <c r="G7" i="2"/>
  <c r="H7" i="2"/>
  <c r="G3" i="2"/>
  <c r="H3" i="2"/>
  <c r="M39" i="4"/>
  <c r="R37" i="4"/>
  <c r="J37" i="4"/>
  <c r="M36" i="4"/>
  <c r="J36" i="4"/>
  <c r="L36" i="4"/>
  <c r="N36" i="4"/>
  <c r="O36" i="4"/>
  <c r="P36" i="4"/>
  <c r="J35" i="4"/>
  <c r="S33" i="4"/>
  <c r="J38" i="4"/>
  <c r="K12" i="4"/>
  <c r="J12" i="4"/>
  <c r="L12" i="4"/>
  <c r="K11" i="4"/>
  <c r="J11" i="4"/>
  <c r="L11" i="4"/>
  <c r="K10" i="4"/>
  <c r="L10" i="4"/>
  <c r="J10" i="4"/>
  <c r="N9" i="4"/>
  <c r="O9" i="4"/>
  <c r="M9" i="4"/>
  <c r="L9" i="4"/>
  <c r="E9" i="4"/>
  <c r="J8" i="4"/>
  <c r="M39" i="3"/>
  <c r="J39" i="3"/>
  <c r="R37" i="3"/>
  <c r="J37" i="3"/>
  <c r="K37" i="3"/>
  <c r="M36" i="3"/>
  <c r="J36" i="3"/>
  <c r="L36" i="3"/>
  <c r="N36" i="3"/>
  <c r="O36" i="3"/>
  <c r="P36" i="3"/>
  <c r="J35" i="3"/>
  <c r="S33" i="3"/>
  <c r="J38" i="3"/>
  <c r="K12" i="3"/>
  <c r="L12" i="3"/>
  <c r="J12" i="3"/>
  <c r="J11" i="3"/>
  <c r="K10" i="3"/>
  <c r="L10" i="3"/>
  <c r="J10" i="3"/>
  <c r="N9" i="3"/>
  <c r="O9" i="3"/>
  <c r="M9" i="3"/>
  <c r="L9" i="3"/>
  <c r="E9" i="3"/>
  <c r="J8" i="3"/>
  <c r="K8" i="3"/>
  <c r="M34" i="2"/>
  <c r="R32" i="2"/>
  <c r="M31" i="2"/>
  <c r="J31" i="2"/>
  <c r="L31" i="2"/>
  <c r="S28" i="2"/>
  <c r="J30" i="2"/>
  <c r="M7" i="2"/>
  <c r="J7" i="2"/>
  <c r="J6" i="2"/>
  <c r="K6" i="2"/>
  <c r="L6" i="2"/>
  <c r="J5" i="2"/>
  <c r="M4" i="2"/>
  <c r="J4" i="2"/>
  <c r="L4" i="2"/>
  <c r="J3" i="2"/>
  <c r="J9" i="1"/>
  <c r="M39" i="1"/>
  <c r="R37" i="1"/>
  <c r="M36" i="1"/>
  <c r="J36" i="1"/>
  <c r="L36" i="1"/>
  <c r="N36" i="1"/>
  <c r="O36" i="1"/>
  <c r="P36" i="1"/>
  <c r="S33" i="1"/>
  <c r="J39" i="1"/>
  <c r="M12" i="1"/>
  <c r="J12" i="1"/>
  <c r="K12" i="1"/>
  <c r="L12" i="1"/>
  <c r="J11" i="1"/>
  <c r="K11" i="1"/>
  <c r="L11" i="1"/>
  <c r="K10" i="1"/>
  <c r="L10" i="1"/>
  <c r="J10" i="1"/>
  <c r="M9" i="1"/>
  <c r="L9" i="1"/>
  <c r="N9" i="1"/>
  <c r="O9" i="1"/>
  <c r="J8" i="1"/>
  <c r="K8" i="1"/>
  <c r="L8" i="1"/>
  <c r="E10" i="4"/>
  <c r="N10" i="4"/>
  <c r="O10" i="4"/>
  <c r="E11" i="4"/>
  <c r="N11" i="4"/>
  <c r="O11" i="4"/>
  <c r="K38" i="4"/>
  <c r="L38" i="4"/>
  <c r="N38" i="4"/>
  <c r="O38" i="4"/>
  <c r="P38" i="4"/>
  <c r="L8" i="4"/>
  <c r="F9" i="4"/>
  <c r="G9" i="4"/>
  <c r="H9" i="4"/>
  <c r="P9" i="4"/>
  <c r="E12" i="4"/>
  <c r="N12" i="4"/>
  <c r="O12" i="4"/>
  <c r="K8" i="4"/>
  <c r="K35" i="4"/>
  <c r="L35" i="4"/>
  <c r="N35" i="4"/>
  <c r="O35" i="4"/>
  <c r="P35" i="4"/>
  <c r="K37" i="4"/>
  <c r="L37" i="4"/>
  <c r="N37" i="4"/>
  <c r="O37" i="4"/>
  <c r="P37" i="4"/>
  <c r="J39" i="4"/>
  <c r="E10" i="3"/>
  <c r="N10" i="3"/>
  <c r="O10" i="3"/>
  <c r="L38" i="3"/>
  <c r="N38" i="3"/>
  <c r="O38" i="3"/>
  <c r="P38" i="3"/>
  <c r="K38" i="3"/>
  <c r="F9" i="3"/>
  <c r="G9" i="3"/>
  <c r="H9" i="3"/>
  <c r="P9" i="3"/>
  <c r="E12" i="3"/>
  <c r="N12" i="3"/>
  <c r="O12" i="3"/>
  <c r="L8" i="3"/>
  <c r="L37" i="3"/>
  <c r="N37" i="3"/>
  <c r="O37" i="3"/>
  <c r="P37" i="3"/>
  <c r="K39" i="3"/>
  <c r="L39" i="3"/>
  <c r="N39" i="3"/>
  <c r="O39" i="3"/>
  <c r="P39" i="3"/>
  <c r="K35" i="3"/>
  <c r="L35" i="3"/>
  <c r="N35" i="3"/>
  <c r="O35" i="3"/>
  <c r="P35" i="3"/>
  <c r="K11" i="3"/>
  <c r="L11" i="3"/>
  <c r="J32" i="2"/>
  <c r="J34" i="2"/>
  <c r="N31" i="2"/>
  <c r="O31" i="2"/>
  <c r="P31" i="2"/>
  <c r="K30" i="2"/>
  <c r="L30" i="2"/>
  <c r="N30" i="2"/>
  <c r="O30" i="2"/>
  <c r="P30" i="2"/>
  <c r="N6" i="2"/>
  <c r="O6" i="2"/>
  <c r="K32" i="2"/>
  <c r="L32" i="2"/>
  <c r="N32" i="2"/>
  <c r="O32" i="2"/>
  <c r="P32" i="2"/>
  <c r="L34" i="2"/>
  <c r="N34" i="2"/>
  <c r="O34" i="2"/>
  <c r="P34" i="2"/>
  <c r="K34" i="2"/>
  <c r="K3" i="2"/>
  <c r="L3" i="2"/>
  <c r="N4" i="2"/>
  <c r="O4" i="2"/>
  <c r="K5" i="2"/>
  <c r="L5" i="2"/>
  <c r="K7" i="2"/>
  <c r="L7" i="2"/>
  <c r="J33" i="2"/>
  <c r="N11" i="1"/>
  <c r="O11" i="1"/>
  <c r="E11" i="1"/>
  <c r="K39" i="1"/>
  <c r="L39" i="1"/>
  <c r="N39" i="1"/>
  <c r="O39" i="1"/>
  <c r="P39" i="1"/>
  <c r="N10" i="1"/>
  <c r="O10" i="1"/>
  <c r="E10" i="1"/>
  <c r="N12" i="1"/>
  <c r="O12" i="1"/>
  <c r="E12" i="1"/>
  <c r="F9" i="1"/>
  <c r="P9" i="1"/>
  <c r="N8" i="1"/>
  <c r="O8" i="1"/>
  <c r="E8" i="1"/>
  <c r="J38" i="1"/>
  <c r="E9" i="1"/>
  <c r="J35" i="1"/>
  <c r="J37" i="1"/>
  <c r="P11" i="4"/>
  <c r="F11" i="4"/>
  <c r="G11" i="4"/>
  <c r="H11" i="4"/>
  <c r="P10" i="4"/>
  <c r="F10" i="4"/>
  <c r="G10" i="4"/>
  <c r="H10" i="4"/>
  <c r="N8" i="4"/>
  <c r="O8" i="4"/>
  <c r="E8" i="4"/>
  <c r="K39" i="4"/>
  <c r="L39" i="4"/>
  <c r="N39" i="4"/>
  <c r="O39" i="4"/>
  <c r="P39" i="4"/>
  <c r="P12" i="4"/>
  <c r="F12" i="4"/>
  <c r="G12" i="4"/>
  <c r="H12" i="4"/>
  <c r="N11" i="3"/>
  <c r="O11" i="3"/>
  <c r="E11" i="3"/>
  <c r="F12" i="3"/>
  <c r="G12" i="3"/>
  <c r="H12" i="3"/>
  <c r="P12" i="3"/>
  <c r="P10" i="3"/>
  <c r="F10" i="3"/>
  <c r="G10" i="3"/>
  <c r="H10" i="3"/>
  <c r="N8" i="3"/>
  <c r="O8" i="3"/>
  <c r="E8" i="3"/>
  <c r="N3" i="2"/>
  <c r="O3" i="2"/>
  <c r="N7" i="2"/>
  <c r="O7" i="2"/>
  <c r="N5" i="2"/>
  <c r="O5" i="2"/>
  <c r="P6" i="2"/>
  <c r="P4" i="2"/>
  <c r="K33" i="2"/>
  <c r="L33" i="2"/>
  <c r="N33" i="2"/>
  <c r="O33" i="2"/>
  <c r="P33" i="2"/>
  <c r="G9" i="1"/>
  <c r="K37" i="1"/>
  <c r="L37" i="1"/>
  <c r="N37" i="1"/>
  <c r="O37" i="1"/>
  <c r="P37" i="1"/>
  <c r="K35" i="1"/>
  <c r="L35" i="1"/>
  <c r="N35" i="1"/>
  <c r="O35" i="1"/>
  <c r="P35" i="1"/>
  <c r="F12" i="1"/>
  <c r="G12" i="1"/>
  <c r="P12" i="1"/>
  <c r="H9" i="1"/>
  <c r="G10" i="1"/>
  <c r="G8" i="1"/>
  <c r="P8" i="1"/>
  <c r="K38" i="1"/>
  <c r="L38" i="1"/>
  <c r="N38" i="1"/>
  <c r="O38" i="1"/>
  <c r="P38" i="1"/>
  <c r="F10" i="1"/>
  <c r="P10" i="1"/>
  <c r="F11" i="1"/>
  <c r="G11" i="1"/>
  <c r="P11" i="1"/>
  <c r="P8" i="4"/>
  <c r="F8" i="4"/>
  <c r="G8" i="4"/>
  <c r="H8" i="4"/>
  <c r="H13" i="4"/>
  <c r="H14" i="4"/>
  <c r="P8" i="3"/>
  <c r="F8" i="3"/>
  <c r="G8" i="3"/>
  <c r="H8" i="3"/>
  <c r="P11" i="3"/>
  <c r="F11" i="3"/>
  <c r="G11" i="3"/>
  <c r="H11" i="3"/>
  <c r="P7" i="2"/>
  <c r="P5" i="2"/>
  <c r="P3" i="2"/>
  <c r="H8" i="2"/>
  <c r="H9" i="2"/>
  <c r="H11" i="1"/>
  <c r="H12" i="1"/>
  <c r="H10" i="1"/>
  <c r="H8" i="1"/>
  <c r="H13" i="3"/>
  <c r="H14" i="3"/>
  <c r="H13" i="1"/>
  <c r="H14" i="1"/>
</calcChain>
</file>

<file path=xl/sharedStrings.xml><?xml version="1.0" encoding="utf-8"?>
<sst xmlns="http://schemas.openxmlformats.org/spreadsheetml/2006/main" count="206" uniqueCount="40">
  <si>
    <t>ITEM</t>
  </si>
  <si>
    <t>DESCRICIÓN DE LOS SERVICIOS</t>
  </si>
  <si>
    <t>UND</t>
  </si>
  <si>
    <t>CANTIDAD</t>
  </si>
  <si>
    <t>VALOR UNITARIO</t>
  </si>
  <si>
    <t>AYS</t>
  </si>
  <si>
    <t>SUBTOTAL</t>
  </si>
  <si>
    <t>VALOR RODAMIENTO PROMEDIO</t>
  </si>
  <si>
    <t>AIU</t>
  </si>
  <si>
    <t>IVA</t>
  </si>
  <si>
    <t>TOTAL MENSUAL UNITARIO</t>
  </si>
  <si>
    <t>SERVICIO DE VIGILANCIA MOVIL MOTORIZADO 24 HORAS DEL DIA TODOS LOS DIAS DEL MES CON ARMA NO LETAL
RODAMIENTO POR SERVICIO 24 HORAS</t>
  </si>
  <si>
    <t>SERVICIO DE SEGURIDAD ARRENDAMIENTO CAMIONETA CONVENCIONAL TIPO PLATÓN MINIMO MODELO 2017 - 24 HORAS TODOS LOS DIAS DEL MES</t>
  </si>
  <si>
    <t>SERVICIO DE VIGILANCIA - CONDUCTOR 24 HORAS DEL DIA TODOS LOS DIAS DEL MES SIN ARMA Y MEDIO DE COMUNICACIÓN</t>
  </si>
  <si>
    <t>SERVICIO DE VIGILANCIA FIJA 12 HORAS DIURNAS (09:00 A 21:00)  TODOS LOS DIAS DEL MES ARMA NO LETAL</t>
  </si>
  <si>
    <t>SERVICIO DE VIGILANCIA OPERADOR DE MEDIOS TECNOLOGICOS 24 HORAS TODOS LOS DIAS DEL MES</t>
  </si>
  <si>
    <t>Entidad</t>
  </si>
  <si>
    <t>CANTIDAD DIAS</t>
  </si>
  <si>
    <t>junio</t>
  </si>
  <si>
    <t>SERVICIOS DE VIGILANCIA Y SEGURIDAD PRIVADA -
Tarifa para 15 julio 2025 hasta 31 diciembre 2025</t>
  </si>
  <si>
    <t>Valor Base + Seguro de Vida</t>
  </si>
  <si>
    <t>TOTAL MENSUAL IVA INCLUIDO</t>
  </si>
  <si>
    <t>TOTAL 107 DIAS</t>
  </si>
  <si>
    <t>julio</t>
  </si>
  <si>
    <t>El valor TOTAL de la oferta es por la suma de: dos mil doscientos cincuenta millones, quinientos treinta y nueve mil, noventa y cuatro pesos M/Cte $2.250.539.094</t>
  </si>
  <si>
    <t>Nombre del Proponente: SEGURIDAD FENIX DE COLOMBIA LTDA
NIT 800,234,493-4
CARRERA 27 C 72 54 BARRIO ALCAZARES 
3502121737
El valor total de la oferta incluye costos directos e indirectos, así como también el valor de los impuestos nacionales, departamentales y municipales.
Nota 1. El FORMATO debe ser diligenciado por el proponente, de conformidad con las condiciones establecidas en el presente Pliego de Condiciones, so pena de rechazo de la misma.
Nota 2. Este anexo debe ser diligenciado en su totalidad por el oferente y tiene que ser concordante con todo el contenido de su oferta y cada una de las exigencias de carácter técnico descritas en el Anexo No. 01 y de las adendas (si las hay) del proceso de selección.
Nota 3. Serán de exclusiva responsabilidad del proponente los errores u omisiones en que incurra al indicar el valor de su propuesta. En caso de no estar obligado a la retención del IVA, no diligenciar dicho campo en la oferta económica, e indicar de forma clara si no está obligado.
Nota 4. Los impuestos deben ir incluidos dentro de la propuesta y no como un punto o ítem diferente, deben estar en la totalidad de los costos.
Nota 5. La Entidad sólo efectuará correcciones aritméticas originadas por:
A. Todas las operaciones aritméticas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</si>
  <si>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PRESTACIÓN DEL SERVICIO DE SEGURIDAD MÓVIL MEDIANTE PERSONAL DE UNA EMPRESA DE VIGILANCIA Y SEGURIDAD PRIVADA PARA BRINDAR APOYO A LA CENTRAL DE EMERGENCIAS Y A LOS CUADRANTES DE LA POLICÍA NACIONAL EN EL MUNICIPIO DE CHÍA</t>
  </si>
  <si>
    <t>SERVICIO DE VIGILANCIA MOVIL MOTORIZADO 24 HORAS DEL DIA
TODOS LOS DIAS DEL MES CON ARMA NO LETAL
RODAMIENTO POR SERVICIO 24 HORAS.</t>
  </si>
  <si>
    <t>SERVICIO DE VIGILANCIA FIJA 12 HORAS DIURNAS (09:00 A 21:00)
TODOS LOS DIAS DEL MES ARMA NO LETAL</t>
  </si>
  <si>
    <t>SERVICIO DE VIGILANCIA OPERADOR DE MEDIOS TECNOLOGICOS
24 HORAS TODOS LOS DIAS DEL MES</t>
  </si>
  <si>
    <t>SERVICIO DE SEGURIDAD ARRENDAMIENTO CAMIONETA CONVENCIONAL TIPO PLATÓN MINIMO MODELO 2017 - 24 HORAS
TODOS LOS DIAS DEL MES</t>
  </si>
  <si>
    <t>Valor total incluido IVA mensual</t>
  </si>
  <si>
    <t>Valor 3 meses 2025.</t>
  </si>
  <si>
    <t>VALOR UNITARIO IVA INCLUIDO
MENSUAL</t>
  </si>
  <si>
    <t>VALOR TOTAL MENSUAL IVA INCLUIDO X CANTIDAD</t>
  </si>
  <si>
    <t>Tarifa 9,29 a partir del 15 de julio 2015 - CIRCULAR EXTERNA N° 20241300000445 30/12/2024
TARIFAS MINIMAS PARA LA CONTRATACIÓN DEL SERVICIO DE VIGILANCIA Y SEGURIDAD PRIVADA EN LA VIGENCIA 2025.</t>
  </si>
  <si>
    <t>IVA 19%  
(AIU 10%)</t>
  </si>
  <si>
    <t>VALOR UNITARIO PROMEDIO</t>
  </si>
  <si>
    <t>IVA 19%  
(AIU 10%)
UNITARIO</t>
  </si>
  <si>
    <t>VALOR UNITARIO IVA INCLUIDO
MENSUAL
PROMEDIO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</si>
</sst>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4" formatCode="_-&quot;$&quot;\ * #,##0.00_-;\-&quot;$&quot;\ * #,##0.00_-;_-&quot;$&quot;\ * &quot;-&quot;??_-;_-@_-"/>
    <numFmt numFmtId="164" formatCode="_-&quot;$&quot;\ * #,##0_-;\-&quot;$&quot;\ * #,##0_-;_-&quot;$&quot;\ *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1"/>
      <color theme="2" tint="-0.249977111117893"/>
      <name val="Calibri"/>
      <family val="2"/>
      <scheme val="minor"/>
    </font>
    <font>
      <sz val="11"/>
      <color theme="6"/>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3" fillId="0" borderId="0" xfId="0" applyFont="1"/>
    <xf numFmtId="0" fontId="4" fillId="0" borderId="0" xfId="0" applyFont="1"/>
    <xf numFmtId="0" fontId="2" fillId="0" borderId="0" xfId="0" applyFont="1"/>
    <xf numFmtId="44" fontId="0" fillId="0" borderId="0" xfId="1" applyFont="1"/>
    <xf numFmtId="0" fontId="0" fillId="0" borderId="0" xfId="0" applyAlignment="1">
      <alignment horizontal="center" vertical="center"/>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0" borderId="0" xfId="0" applyFont="1" applyAlignment="1">
      <alignment horizontal="center" vertical="center" wrapText="1"/>
    </xf>
    <xf numFmtId="0" fontId="2" fillId="3" borderId="0" xfId="0" applyFont="1" applyFill="1" applyAlignment="1">
      <alignment horizontal="center" vertical="center" wrapText="1"/>
    </xf>
    <xf numFmtId="0" fontId="2" fillId="3" borderId="0" xfId="0" applyFont="1" applyFill="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164" fontId="0" fillId="0" borderId="0" xfId="0" applyNumberFormat="1" applyAlignment="1">
      <alignment horizontal="center" vertical="center"/>
    </xf>
    <xf numFmtId="164" fontId="0" fillId="0" borderId="0" xfId="1" applyNumberFormat="1" applyFont="1" applyFill="1" applyBorder="1" applyAlignment="1">
      <alignment horizontal="center" vertical="center"/>
    </xf>
    <xf numFmtId="164" fontId="0" fillId="0" borderId="0" xfId="0" applyNumberFormat="1"/>
    <xf numFmtId="0" fontId="2" fillId="0" borderId="2" xfId="0" applyFont="1" applyBorder="1" applyAlignment="1">
      <alignment horizontal="center" vertical="center"/>
    </xf>
    <xf numFmtId="0" fontId="2" fillId="3" borderId="2" xfId="0" applyFont="1" applyFill="1" applyBorder="1" applyAlignment="1">
      <alignment horizontal="center" vertical="center" wrapText="1"/>
    </xf>
    <xf numFmtId="164" fontId="0" fillId="0" borderId="2" xfId="1" applyNumberFormat="1" applyFont="1" applyFill="1" applyBorder="1" applyAlignment="1">
      <alignment horizontal="center" vertical="center"/>
    </xf>
    <xf numFmtId="6" fontId="0" fillId="0" borderId="0" xfId="0" applyNumberFormat="1"/>
    <xf numFmtId="0" fontId="0" fillId="0" borderId="2" xfId="0" applyBorder="1" applyAlignment="1">
      <alignment horizontal="center"/>
    </xf>
    <xf numFmtId="164" fontId="0" fillId="0" borderId="2" xfId="0" applyNumberFormat="1" applyBorder="1" applyAlignment="1">
      <alignment horizontal="center" vertical="center"/>
    </xf>
    <xf numFmtId="164" fontId="2" fillId="3" borderId="2" xfId="0" applyNumberFormat="1" applyFont="1" applyFill="1" applyBorder="1" applyAlignment="1">
      <alignment vertical="center"/>
    </xf>
    <xf numFmtId="164" fontId="2" fillId="3" borderId="2" xfId="0" applyNumberFormat="1" applyFont="1" applyFill="1" applyBorder="1" applyAlignment="1">
      <alignment horizontal="center" vertical="center"/>
    </xf>
    <xf numFmtId="164" fontId="0" fillId="0" borderId="0" xfId="1" applyNumberFormat="1" applyFont="1"/>
    <xf numFmtId="44" fontId="0" fillId="0" borderId="2" xfId="0" applyNumberFormat="1" applyBorder="1" applyAlignment="1">
      <alignment horizontal="center" vertical="center"/>
    </xf>
    <xf numFmtId="44" fontId="2" fillId="3" borderId="2" xfId="0" applyNumberFormat="1" applyFont="1" applyFill="1" applyBorder="1" applyAlignment="1">
      <alignment vertical="center"/>
    </xf>
    <xf numFmtId="44" fontId="2" fillId="3" borderId="2" xfId="0" applyNumberFormat="1" applyFont="1" applyFill="1" applyBorder="1" applyAlignment="1">
      <alignment horizontal="center" vertical="center"/>
    </xf>
    <xf numFmtId="0" fontId="0" fillId="0" borderId="0" xfId="0" applyAlignment="1">
      <alignment horizontal="left" wrapText="1"/>
    </xf>
    <xf numFmtId="44" fontId="0" fillId="0" borderId="2" xfId="0" applyNumberFormat="1" applyBorder="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4" xfId="0" applyBorder="1" applyAlignment="1">
      <alignment horizontal="left" wrapText="1"/>
    </xf>
    <xf numFmtId="0" fontId="2" fillId="0" borderId="1" xfId="0" applyFont="1" applyBorder="1" applyAlignment="1">
      <alignment horizontal="center" wrapText="1"/>
    </xf>
    <xf numFmtId="0" fontId="2" fillId="0" borderId="1" xfId="0" applyFont="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Alignment="1">
      <alignment horizontal="left"/>
    </xf>
    <xf numFmtId="0" fontId="0" fillId="0" borderId="0" xfId="0" applyAlignment="1">
      <alignment horizontal="center" wrapText="1"/>
    </xf>
    <xf numFmtId="164" fontId="0" fillId="0" borderId="2" xfId="0" applyNumberFormat="1" applyBorder="1" applyAlignment="1">
      <alignment horizontal="center"/>
    </xf>
    <xf numFmtId="164" fontId="0" fillId="0" borderId="2" xfId="0" applyNumberFormat="1" applyBorder="1" applyAlignment="1">
      <alignment horizontal="right"/>
    </xf>
    <xf numFmtId="0" fontId="0" fillId="0" borderId="2" xfId="0" applyBorder="1" applyAlignment="1">
      <alignment horizontal="right"/>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079F-6BFE-4010-98D9-6FD83CBCC01D}">
  <dimension ref="A2:U60"/>
  <sheetViews>
    <sheetView showGridLines="0" tabSelected="1" view="pageBreakPreview" zoomScale="124" zoomScaleNormal="100" workbookViewId="0"/>
  </sheetViews>
  <sheetFormatPr baseColWidth="10" defaultRowHeight="15" x14ac:dyDescent="0.2"/>
  <cols>
    <col min="1" max="1" width="5.5" bestFit="1" customWidth="1"/>
    <col min="2" max="2" width="42.33203125" customWidth="1"/>
    <col min="3" max="3" width="5.1640625" bestFit="1" customWidth="1"/>
    <col min="4" max="4" width="10.33203125" bestFit="1" customWidth="1"/>
    <col min="5" max="7" width="16.6640625" customWidth="1"/>
    <col min="8" max="8" width="20.1640625" customWidth="1"/>
    <col min="9" max="9" width="16.6640625" style="1" customWidth="1"/>
    <col min="10" max="10" width="15.83203125" style="1" hidden="1" customWidth="1"/>
    <col min="11" max="11" width="12.83203125" style="1" hidden="1" customWidth="1"/>
    <col min="12" max="12" width="14.6640625" style="1" hidden="1" customWidth="1"/>
    <col min="13" max="13" width="13.5" style="1" hidden="1" customWidth="1"/>
    <col min="14" max="14" width="13.6640625" style="1" hidden="1" customWidth="1"/>
    <col min="15" max="15" width="13.33203125" style="1" hidden="1" customWidth="1"/>
    <col min="16" max="16" width="16.33203125" style="1" hidden="1" customWidth="1"/>
    <col min="17" max="17" width="14.5" style="2" hidden="1" customWidth="1"/>
    <col min="18" max="18" width="11.5" style="2" hidden="1" customWidth="1"/>
    <col min="19" max="19" width="12" style="2" hidden="1" customWidth="1"/>
    <col min="20" max="21" width="11.5" style="2"/>
  </cols>
  <sheetData>
    <row r="2" spans="1:21" s="2" customFormat="1" ht="64" x14ac:dyDescent="0.2">
      <c r="A2" s="7" t="s">
        <v>0</v>
      </c>
      <c r="B2" s="7" t="s">
        <v>1</v>
      </c>
      <c r="C2" s="7" t="s">
        <v>2</v>
      </c>
      <c r="D2" s="7" t="s">
        <v>3</v>
      </c>
      <c r="E2" s="17" t="s">
        <v>37</v>
      </c>
      <c r="F2" s="17" t="s">
        <v>38</v>
      </c>
      <c r="G2" s="17" t="s">
        <v>39</v>
      </c>
      <c r="H2" s="17" t="s">
        <v>34</v>
      </c>
      <c r="I2" s="8"/>
      <c r="J2" s="9" t="s">
        <v>4</v>
      </c>
      <c r="K2" s="10" t="s">
        <v>5</v>
      </c>
      <c r="L2" s="10" t="s">
        <v>6</v>
      </c>
      <c r="M2" s="9" t="s">
        <v>7</v>
      </c>
      <c r="N2" s="10" t="s">
        <v>8</v>
      </c>
      <c r="O2" s="10" t="s">
        <v>9</v>
      </c>
      <c r="P2" s="9" t="s">
        <v>10</v>
      </c>
      <c r="Q2"/>
      <c r="R2"/>
      <c r="S2"/>
    </row>
    <row r="3" spans="1:21" s="2" customFormat="1" ht="64" x14ac:dyDescent="0.2">
      <c r="A3" s="11">
        <v>1</v>
      </c>
      <c r="B3" s="12" t="s">
        <v>27</v>
      </c>
      <c r="C3" s="12" t="s">
        <v>2</v>
      </c>
      <c r="D3" s="11">
        <v>26</v>
      </c>
      <c r="E3" s="25">
        <f>ROUND(AVERAGE('Cotizacion No. 1'!E8,'Cotizacion No. 2'!E8,'Cotizacion No. 3'!E8),0)</f>
        <v>17409190</v>
      </c>
      <c r="F3" s="25">
        <f>ROUND((E3*10%)*19%,0)</f>
        <v>330775</v>
      </c>
      <c r="G3" s="25">
        <f>E3+F3</f>
        <v>17739965</v>
      </c>
      <c r="H3" s="25">
        <f>G3*D3</f>
        <v>461239090</v>
      </c>
      <c r="I3" s="13"/>
      <c r="J3" s="14" t="e">
        <f>((#REF!*#REF!)+#REF!)</f>
        <v>#REF!</v>
      </c>
      <c r="K3" s="14" t="e">
        <f>+J3*0.08</f>
        <v>#REF!</v>
      </c>
      <c r="L3" s="14" t="e">
        <f>J3+K3</f>
        <v>#REF!</v>
      </c>
      <c r="M3" s="14">
        <v>3116850</v>
      </c>
      <c r="N3" s="14" t="e">
        <f>(L3+M3)*0.1</f>
        <v>#REF!</v>
      </c>
      <c r="O3" s="14" t="e">
        <f>N3*0.19</f>
        <v>#REF!</v>
      </c>
      <c r="P3" s="14" t="e">
        <f>O3+L3+M3</f>
        <v>#REF!</v>
      </c>
      <c r="Q3"/>
      <c r="R3"/>
      <c r="S3"/>
      <c r="U3" s="21">
        <f>E3*0.019</f>
        <v>330774.61</v>
      </c>
    </row>
    <row r="4" spans="1:21" s="2" customFormat="1" ht="64" x14ac:dyDescent="0.2">
      <c r="A4" s="11">
        <v>2</v>
      </c>
      <c r="B4" s="12" t="s">
        <v>30</v>
      </c>
      <c r="C4" s="12" t="s">
        <v>2</v>
      </c>
      <c r="D4" s="11">
        <v>1</v>
      </c>
      <c r="E4" s="25">
        <f>ROUND(AVERAGE('Cotizacion No. 1'!E9,'Cotizacion No. 2'!E9,'Cotizacion No. 3'!E9),0)</f>
        <v>13113040</v>
      </c>
      <c r="F4" s="25">
        <f t="shared" ref="F4:F7" si="0">ROUND((E4*10%)*19%,0)</f>
        <v>249148</v>
      </c>
      <c r="G4" s="25">
        <f t="shared" ref="G4:G7" si="1">E4+F4</f>
        <v>13362188</v>
      </c>
      <c r="H4" s="25">
        <f t="shared" ref="H4:H7" si="2">G4*D4</f>
        <v>13362188</v>
      </c>
      <c r="I4" s="13"/>
      <c r="J4" s="14">
        <f>8850000*1.1</f>
        <v>9735000</v>
      </c>
      <c r="K4" s="14"/>
      <c r="L4" s="14">
        <f>J4</f>
        <v>9735000</v>
      </c>
      <c r="M4" s="14">
        <f>3000000*1.1</f>
        <v>3300000.0000000005</v>
      </c>
      <c r="N4" s="14">
        <f>(L4+M4)*0.1</f>
        <v>1303500</v>
      </c>
      <c r="O4" s="14">
        <f>N4*0.19</f>
        <v>247665</v>
      </c>
      <c r="P4" s="14">
        <f>O4+L4+M4</f>
        <v>13282665</v>
      </c>
      <c r="Q4"/>
      <c r="R4"/>
      <c r="S4"/>
    </row>
    <row r="5" spans="1:21" s="2" customFormat="1" ht="48" x14ac:dyDescent="0.2">
      <c r="A5" s="11">
        <v>3</v>
      </c>
      <c r="B5" s="12" t="s">
        <v>13</v>
      </c>
      <c r="C5" s="12" t="s">
        <v>2</v>
      </c>
      <c r="D5" s="11">
        <v>2</v>
      </c>
      <c r="E5" s="25">
        <f>ROUND(AVERAGE('Cotizacion No. 1'!E10,'Cotizacion No. 2'!E10,'Cotizacion No. 3'!E10),0)</f>
        <v>18422674</v>
      </c>
      <c r="F5" s="25">
        <f t="shared" si="0"/>
        <v>350031</v>
      </c>
      <c r="G5" s="25">
        <f t="shared" si="1"/>
        <v>18772705</v>
      </c>
      <c r="H5" s="25">
        <f t="shared" si="2"/>
        <v>37545410</v>
      </c>
      <c r="I5" s="13"/>
      <c r="J5" s="14" t="e">
        <f>(((#REF!+R5)*#REF!)+#REF!)</f>
        <v>#REF!</v>
      </c>
      <c r="K5" s="14" t="e">
        <f>J5*0.08</f>
        <v>#REF!</v>
      </c>
      <c r="L5" s="14" t="e">
        <f>J5+K5</f>
        <v>#REF!</v>
      </c>
      <c r="M5" s="14"/>
      <c r="N5" s="14" t="e">
        <f>L5*0.1</f>
        <v>#REF!</v>
      </c>
      <c r="O5" s="14" t="e">
        <f>+N5*0.19</f>
        <v>#REF!</v>
      </c>
      <c r="P5" s="14" t="e">
        <f>O5+L5</f>
        <v>#REF!</v>
      </c>
      <c r="Q5"/>
      <c r="R5">
        <v>385000</v>
      </c>
      <c r="S5"/>
    </row>
    <row r="6" spans="1:21" s="2" customFormat="1" ht="48" x14ac:dyDescent="0.2">
      <c r="A6" s="11">
        <v>4</v>
      </c>
      <c r="B6" s="12" t="s">
        <v>28</v>
      </c>
      <c r="C6" s="12" t="s">
        <v>2</v>
      </c>
      <c r="D6" s="11">
        <v>6</v>
      </c>
      <c r="E6" s="25">
        <f>ROUND(AVERAGE('Cotizacion No. 1'!E11,'Cotizacion No. 2'!E11,'Cotizacion No. 3'!E11),0)</f>
        <v>6399538</v>
      </c>
      <c r="F6" s="25">
        <f t="shared" si="0"/>
        <v>121591</v>
      </c>
      <c r="G6" s="25">
        <f t="shared" si="1"/>
        <v>6521129</v>
      </c>
      <c r="H6" s="25">
        <f t="shared" si="2"/>
        <v>39126774</v>
      </c>
      <c r="I6" s="13"/>
      <c r="J6" s="14" t="e">
        <f>((#REF!*#REF!)+#REF!)*0.5597/15*12</f>
        <v>#REF!</v>
      </c>
      <c r="K6" s="14" t="e">
        <f>J6*0.08</f>
        <v>#REF!</v>
      </c>
      <c r="L6" s="14" t="e">
        <f>J6+K6</f>
        <v>#REF!</v>
      </c>
      <c r="M6" s="14"/>
      <c r="N6" s="14" t="e">
        <f>L6*0.1</f>
        <v>#REF!</v>
      </c>
      <c r="O6" s="14" t="e">
        <f>+N6*0.19</f>
        <v>#REF!</v>
      </c>
      <c r="P6" s="14" t="e">
        <f>O6+L6</f>
        <v>#REF!</v>
      </c>
      <c r="Q6"/>
      <c r="R6"/>
      <c r="S6"/>
    </row>
    <row r="7" spans="1:21" s="2" customFormat="1" ht="48" x14ac:dyDescent="0.2">
      <c r="A7" s="11">
        <v>5</v>
      </c>
      <c r="B7" s="12" t="s">
        <v>29</v>
      </c>
      <c r="C7" s="12" t="s">
        <v>2</v>
      </c>
      <c r="D7" s="11">
        <v>6</v>
      </c>
      <c r="E7" s="25">
        <f>ROUND(AVERAGE('Cotizacion No. 1'!E12,'Cotizacion No. 2'!E12,'Cotizacion No. 3'!E12),0)</f>
        <v>14579007</v>
      </c>
      <c r="F7" s="25">
        <f t="shared" si="0"/>
        <v>277001</v>
      </c>
      <c r="G7" s="25">
        <f t="shared" si="1"/>
        <v>14856008</v>
      </c>
      <c r="H7" s="25">
        <f t="shared" si="2"/>
        <v>89136048</v>
      </c>
      <c r="I7" s="13"/>
      <c r="J7" s="14" t="e">
        <f>((#REF!*#REF!)+#REF!)</f>
        <v>#REF!</v>
      </c>
      <c r="K7" s="14" t="e">
        <f>+J7*0.08</f>
        <v>#REF!</v>
      </c>
      <c r="L7" s="14" t="e">
        <f>J7+K7</f>
        <v>#REF!</v>
      </c>
      <c r="M7" s="14">
        <f>250000*1.1</f>
        <v>275000</v>
      </c>
      <c r="N7" s="14" t="e">
        <f>(L7+M7)*0.1</f>
        <v>#REF!</v>
      </c>
      <c r="O7" s="14" t="e">
        <f>N7*0.19</f>
        <v>#REF!</v>
      </c>
      <c r="P7" s="14" t="e">
        <f>O7+L7+M7</f>
        <v>#REF!</v>
      </c>
      <c r="Q7"/>
      <c r="R7"/>
      <c r="S7"/>
    </row>
    <row r="8" spans="1:21" s="2" customFormat="1" x14ac:dyDescent="0.2">
      <c r="A8"/>
      <c r="B8"/>
      <c r="C8"/>
      <c r="D8"/>
      <c r="E8" s="29" t="s">
        <v>31</v>
      </c>
      <c r="F8" s="29"/>
      <c r="G8" s="29"/>
      <c r="H8" s="26">
        <f t="shared" ref="H8" si="3">SUM(H3:H7)</f>
        <v>640409510</v>
      </c>
      <c r="I8" s="15"/>
      <c r="J8"/>
      <c r="K8"/>
      <c r="L8"/>
      <c r="M8"/>
      <c r="N8"/>
      <c r="O8" s="30"/>
      <c r="P8" s="30"/>
      <c r="Q8"/>
      <c r="R8"/>
      <c r="S8"/>
    </row>
    <row r="9" spans="1:21" s="2" customFormat="1" x14ac:dyDescent="0.2">
      <c r="A9"/>
      <c r="B9"/>
      <c r="C9"/>
      <c r="D9"/>
      <c r="E9" s="29" t="s">
        <v>32</v>
      </c>
      <c r="F9" s="29"/>
      <c r="G9" s="29"/>
      <c r="H9" s="27">
        <f>+H8*3</f>
        <v>1921228530</v>
      </c>
      <c r="I9"/>
      <c r="J9"/>
      <c r="K9"/>
      <c r="L9"/>
      <c r="M9"/>
      <c r="N9"/>
      <c r="O9" s="31"/>
      <c r="P9" s="31"/>
      <c r="Q9"/>
      <c r="R9"/>
      <c r="S9"/>
    </row>
    <row r="10" spans="1:21" s="2" customFormat="1" hidden="1" x14ac:dyDescent="0.2">
      <c r="A10"/>
      <c r="B10"/>
      <c r="C10"/>
      <c r="D10"/>
      <c r="E10"/>
      <c r="F10"/>
      <c r="G10"/>
      <c r="H10"/>
      <c r="I10"/>
      <c r="J10"/>
      <c r="K10"/>
      <c r="L10"/>
      <c r="M10"/>
      <c r="N10"/>
      <c r="O10"/>
      <c r="P10"/>
      <c r="Q10"/>
      <c r="R10"/>
      <c r="S10"/>
    </row>
    <row r="11" spans="1:21" s="2" customFormat="1" hidden="1" x14ac:dyDescent="0.2">
      <c r="A11"/>
      <c r="B11"/>
      <c r="C11"/>
      <c r="D11"/>
      <c r="E11"/>
      <c r="F11"/>
      <c r="G11"/>
      <c r="H11"/>
      <c r="I11"/>
      <c r="J11"/>
      <c r="K11"/>
      <c r="L11"/>
      <c r="M11"/>
      <c r="N11"/>
      <c r="O11"/>
      <c r="P11"/>
      <c r="Q11"/>
      <c r="R11"/>
      <c r="S11"/>
    </row>
    <row r="12" spans="1:21" hidden="1" x14ac:dyDescent="0.2">
      <c r="A12" s="32"/>
      <c r="B12" s="32"/>
      <c r="C12" s="32"/>
      <c r="D12" s="32"/>
      <c r="E12" s="32"/>
      <c r="F12" s="32"/>
      <c r="G12" s="32"/>
      <c r="H12" s="32"/>
      <c r="I12" s="32"/>
      <c r="J12" s="32"/>
      <c r="K12" s="32"/>
      <c r="L12" s="32"/>
      <c r="M12"/>
      <c r="N12"/>
      <c r="O12"/>
      <c r="P12"/>
      <c r="Q12"/>
      <c r="R12"/>
      <c r="S12"/>
    </row>
    <row r="13" spans="1:21" hidden="1" x14ac:dyDescent="0.2">
      <c r="A13" s="28"/>
      <c r="B13" s="28"/>
      <c r="C13" s="28"/>
      <c r="D13" s="28"/>
      <c r="E13" s="28"/>
      <c r="F13" s="28"/>
      <c r="G13" s="28"/>
      <c r="H13" s="28"/>
      <c r="I13" s="28"/>
      <c r="J13" s="28"/>
      <c r="K13" s="28"/>
      <c r="L13" s="28"/>
      <c r="M13"/>
      <c r="N13"/>
      <c r="O13"/>
      <c r="P13"/>
      <c r="Q13"/>
      <c r="R13"/>
      <c r="S13"/>
    </row>
    <row r="14" spans="1:21" hidden="1" x14ac:dyDescent="0.2">
      <c r="A14" s="28"/>
      <c r="B14" s="28"/>
      <c r="C14" s="28"/>
      <c r="D14" s="28"/>
      <c r="E14" s="28"/>
      <c r="F14" s="28"/>
      <c r="G14" s="28"/>
      <c r="H14" s="28"/>
      <c r="I14" s="28"/>
      <c r="J14" s="28"/>
      <c r="K14" s="28"/>
      <c r="L14" s="28"/>
      <c r="M14"/>
      <c r="N14"/>
      <c r="O14"/>
      <c r="P14"/>
      <c r="Q14"/>
      <c r="R14"/>
      <c r="S14"/>
    </row>
    <row r="15" spans="1:21" hidden="1" x14ac:dyDescent="0.2">
      <c r="A15" s="28"/>
      <c r="B15" s="28"/>
      <c r="C15" s="28"/>
      <c r="D15" s="28"/>
      <c r="E15" s="28"/>
      <c r="F15" s="28"/>
      <c r="G15" s="28"/>
      <c r="H15" s="28"/>
      <c r="I15" s="28"/>
      <c r="J15" s="28"/>
      <c r="K15" s="28"/>
      <c r="L15" s="28"/>
      <c r="M15"/>
      <c r="N15"/>
      <c r="O15"/>
      <c r="P15"/>
      <c r="Q15"/>
      <c r="R15"/>
      <c r="S15"/>
    </row>
    <row r="16" spans="1:21" hidden="1" x14ac:dyDescent="0.2">
      <c r="I16"/>
      <c r="J16"/>
      <c r="K16"/>
      <c r="L16"/>
      <c r="M16"/>
      <c r="N16"/>
      <c r="O16"/>
      <c r="P16"/>
      <c r="Q16"/>
      <c r="R16"/>
      <c r="S16"/>
    </row>
    <row r="17" spans="1:21" hidden="1" x14ac:dyDescent="0.2">
      <c r="I17"/>
      <c r="J17"/>
      <c r="K17"/>
      <c r="L17"/>
      <c r="M17"/>
      <c r="N17"/>
      <c r="O17"/>
      <c r="P17"/>
      <c r="Q17"/>
      <c r="R17"/>
      <c r="S17"/>
    </row>
    <row r="18" spans="1:21" hidden="1" x14ac:dyDescent="0.2">
      <c r="I18"/>
      <c r="J18"/>
      <c r="K18"/>
      <c r="L18"/>
      <c r="M18"/>
      <c r="N18"/>
      <c r="O18"/>
      <c r="P18" t="s">
        <v>16</v>
      </c>
      <c r="Q18"/>
      <c r="R18"/>
      <c r="S18"/>
    </row>
    <row r="19" spans="1:21" hidden="1" x14ac:dyDescent="0.2">
      <c r="I19"/>
      <c r="J19"/>
      <c r="K19"/>
      <c r="L19"/>
      <c r="M19"/>
      <c r="N19"/>
      <c r="O19"/>
      <c r="P19"/>
      <c r="Q19"/>
      <c r="R19"/>
      <c r="S19"/>
    </row>
    <row r="20" spans="1:21" hidden="1" x14ac:dyDescent="0.2">
      <c r="I20"/>
      <c r="J20"/>
      <c r="K20"/>
      <c r="L20"/>
      <c r="M20"/>
      <c r="N20"/>
      <c r="O20"/>
      <c r="P20"/>
      <c r="Q20"/>
      <c r="R20"/>
      <c r="S20"/>
    </row>
    <row r="21" spans="1:21" hidden="1" x14ac:dyDescent="0.2">
      <c r="I21"/>
      <c r="J21"/>
      <c r="K21"/>
      <c r="L21"/>
      <c r="M21"/>
      <c r="N21"/>
      <c r="O21"/>
      <c r="P21"/>
      <c r="Q21"/>
      <c r="R21"/>
      <c r="S21"/>
    </row>
    <row r="22" spans="1:21" hidden="1" x14ac:dyDescent="0.2">
      <c r="I22"/>
      <c r="J22"/>
      <c r="K22"/>
      <c r="L22"/>
      <c r="M22"/>
      <c r="N22"/>
      <c r="O22"/>
      <c r="P22"/>
      <c r="Q22"/>
      <c r="R22"/>
      <c r="S22"/>
    </row>
    <row r="23" spans="1:21" hidden="1" x14ac:dyDescent="0.2">
      <c r="I23"/>
      <c r="J23"/>
      <c r="K23"/>
      <c r="L23"/>
      <c r="M23"/>
      <c r="N23"/>
      <c r="O23"/>
      <c r="P23"/>
      <c r="Q23"/>
      <c r="R23"/>
      <c r="S23"/>
    </row>
    <row r="24" spans="1:21" hidden="1" x14ac:dyDescent="0.2">
      <c r="I24"/>
      <c r="J24"/>
      <c r="K24"/>
      <c r="L24"/>
      <c r="M24"/>
      <c r="N24"/>
      <c r="O24"/>
      <c r="P24"/>
      <c r="Q24"/>
      <c r="R24"/>
      <c r="S24"/>
    </row>
    <row r="25" spans="1:21" hidden="1" x14ac:dyDescent="0.2">
      <c r="I25"/>
      <c r="J25"/>
      <c r="K25"/>
      <c r="L25"/>
      <c r="M25"/>
      <c r="N25"/>
      <c r="O25"/>
      <c r="P25"/>
      <c r="Q25"/>
      <c r="R25"/>
      <c r="S25"/>
    </row>
    <row r="26" spans="1:21" hidden="1" x14ac:dyDescent="0.2">
      <c r="I26"/>
      <c r="J26"/>
      <c r="K26"/>
      <c r="L26"/>
      <c r="M26"/>
      <c r="N26"/>
      <c r="O26"/>
      <c r="P26"/>
      <c r="Q26"/>
      <c r="R26"/>
      <c r="S26"/>
    </row>
    <row r="27" spans="1:21" hidden="1" x14ac:dyDescent="0.2">
      <c r="H27" s="20" t="s">
        <v>17</v>
      </c>
      <c r="I27"/>
      <c r="J27"/>
      <c r="K27"/>
      <c r="L27"/>
      <c r="M27"/>
      <c r="N27"/>
      <c r="O27"/>
      <c r="P27"/>
      <c r="Q27"/>
      <c r="R27"/>
      <c r="S27"/>
      <c r="T27" s="2">
        <v>30</v>
      </c>
      <c r="U27" s="2" t="s">
        <v>18</v>
      </c>
    </row>
    <row r="28" spans="1:21" ht="34.5" hidden="1" customHeight="1" x14ac:dyDescent="0.2">
      <c r="A28" s="33" t="s">
        <v>19</v>
      </c>
      <c r="B28" s="34"/>
      <c r="C28" s="34"/>
      <c r="D28" s="34"/>
      <c r="E28" s="34"/>
      <c r="F28" s="34"/>
      <c r="G28" s="34"/>
      <c r="H28" s="34"/>
      <c r="I28" s="34"/>
      <c r="J28" s="34"/>
      <c r="K28" s="34"/>
      <c r="L28" s="34"/>
      <c r="M28" s="34"/>
      <c r="N28" s="34"/>
      <c r="O28" s="34"/>
      <c r="P28" s="34"/>
      <c r="Q28">
        <v>1423500</v>
      </c>
      <c r="R28">
        <v>9.2899999999999991</v>
      </c>
      <c r="S28" t="e">
        <f>+#REF!</f>
        <v>#REF!</v>
      </c>
      <c r="T28" s="2">
        <v>7</v>
      </c>
    </row>
    <row r="29" spans="1:21" ht="48" hidden="1" x14ac:dyDescent="0.2">
      <c r="A29" s="6" t="s">
        <v>0</v>
      </c>
      <c r="B29" s="7" t="s">
        <v>1</v>
      </c>
      <c r="C29" s="7"/>
      <c r="D29" s="7"/>
      <c r="E29" s="7"/>
      <c r="F29" s="7"/>
      <c r="G29" s="7"/>
      <c r="H29" s="7"/>
      <c r="I29" s="16"/>
      <c r="J29" s="17" t="s">
        <v>20</v>
      </c>
      <c r="K29" s="7" t="s">
        <v>5</v>
      </c>
      <c r="L29" s="7" t="s">
        <v>6</v>
      </c>
      <c r="M29" s="17" t="s">
        <v>7</v>
      </c>
      <c r="N29" s="7" t="s">
        <v>8</v>
      </c>
      <c r="O29" s="7" t="s">
        <v>9</v>
      </c>
      <c r="P29" s="17" t="s">
        <v>10</v>
      </c>
      <c r="Q29"/>
      <c r="R29"/>
      <c r="S29"/>
    </row>
    <row r="30" spans="1:21" ht="80" hidden="1" x14ac:dyDescent="0.2">
      <c r="A30" s="11">
        <v>1</v>
      </c>
      <c r="B30" s="12" t="s">
        <v>11</v>
      </c>
      <c r="C30" s="12"/>
      <c r="D30" s="12"/>
      <c r="E30" s="12"/>
      <c r="F30" s="12"/>
      <c r="G30" s="12"/>
      <c r="H30" s="12"/>
      <c r="I30" s="12"/>
      <c r="J30" s="18" t="e">
        <f>(($Q$28*$R$28)+$S$28)</f>
        <v>#REF!</v>
      </c>
      <c r="K30" s="18" t="e">
        <f>+J30*0.08</f>
        <v>#REF!</v>
      </c>
      <c r="L30" s="18" t="e">
        <f>J30+K30</f>
        <v>#REF!</v>
      </c>
      <c r="M30" s="18">
        <v>3116850</v>
      </c>
      <c r="N30" s="18" t="e">
        <f>(L30+M30)*0.1</f>
        <v>#REF!</v>
      </c>
      <c r="O30" s="18" t="e">
        <f>N30*0.19</f>
        <v>#REF!</v>
      </c>
      <c r="P30" s="18" t="e">
        <f>O30+L30+M30</f>
        <v>#REF!</v>
      </c>
      <c r="Q30"/>
      <c r="R30"/>
      <c r="S30"/>
    </row>
    <row r="31" spans="1:21" ht="48" hidden="1" x14ac:dyDescent="0.2">
      <c r="A31" s="11">
        <v>3</v>
      </c>
      <c r="B31" s="12" t="s">
        <v>12</v>
      </c>
      <c r="C31" s="12"/>
      <c r="D31" s="12"/>
      <c r="E31" s="12"/>
      <c r="F31" s="12"/>
      <c r="G31" s="12"/>
      <c r="H31" s="12"/>
      <c r="I31" s="12"/>
      <c r="J31" s="18">
        <f>8850000*1.1</f>
        <v>9735000</v>
      </c>
      <c r="K31" s="18"/>
      <c r="L31" s="18">
        <f>J31</f>
        <v>9735000</v>
      </c>
      <c r="M31" s="18">
        <f>3000000*1.1</f>
        <v>3300000.0000000005</v>
      </c>
      <c r="N31" s="18">
        <f>(L31+M31)*0.1</f>
        <v>1303500</v>
      </c>
      <c r="O31" s="18">
        <f>N31*0.19</f>
        <v>247665</v>
      </c>
      <c r="P31" s="18">
        <f>O31+L31+M31</f>
        <v>13282665</v>
      </c>
      <c r="Q31"/>
      <c r="R31"/>
      <c r="S31"/>
    </row>
    <row r="32" spans="1:21" ht="48" hidden="1" x14ac:dyDescent="0.2">
      <c r="A32" s="11">
        <v>4</v>
      </c>
      <c r="B32" s="12" t="s">
        <v>13</v>
      </c>
      <c r="C32" s="12"/>
      <c r="D32" s="12"/>
      <c r="E32" s="12"/>
      <c r="F32" s="12"/>
      <c r="G32" s="12"/>
      <c r="H32" s="12"/>
      <c r="I32" s="12"/>
      <c r="J32" s="18" t="e">
        <f>(((Q28+R32)*R28)+S28)</f>
        <v>#REF!</v>
      </c>
      <c r="K32" s="18" t="e">
        <f>J32*0.08</f>
        <v>#REF!</v>
      </c>
      <c r="L32" s="18" t="e">
        <f>J32+K32</f>
        <v>#REF!</v>
      </c>
      <c r="M32" s="18"/>
      <c r="N32" s="18" t="e">
        <f>L32*0.1</f>
        <v>#REF!</v>
      </c>
      <c r="O32" s="18" t="e">
        <f>+N32*0.19</f>
        <v>#REF!</v>
      </c>
      <c r="P32" s="18" t="e">
        <f>O32+L32</f>
        <v>#REF!</v>
      </c>
      <c r="Q32"/>
      <c r="R32">
        <f>+R5</f>
        <v>385000</v>
      </c>
      <c r="S32"/>
    </row>
    <row r="33" spans="1:21" ht="48" hidden="1" x14ac:dyDescent="0.2">
      <c r="A33" s="11">
        <v>6</v>
      </c>
      <c r="B33" s="12" t="s">
        <v>14</v>
      </c>
      <c r="C33" s="12"/>
      <c r="D33" s="12"/>
      <c r="E33" s="12"/>
      <c r="F33" s="12"/>
      <c r="G33" s="12"/>
      <c r="H33" s="12"/>
      <c r="I33" s="12"/>
      <c r="J33" s="18" t="e">
        <f>((Q28*R28)+S28)*0.5597/15*12</f>
        <v>#REF!</v>
      </c>
      <c r="K33" s="18" t="e">
        <f>J33*0.08</f>
        <v>#REF!</v>
      </c>
      <c r="L33" s="18" t="e">
        <f>J33+K33</f>
        <v>#REF!</v>
      </c>
      <c r="M33" s="18"/>
      <c r="N33" s="18" t="e">
        <f>L33*0.1</f>
        <v>#REF!</v>
      </c>
      <c r="O33" s="18" t="e">
        <f>+N33*0.19</f>
        <v>#REF!</v>
      </c>
      <c r="P33" s="18" t="e">
        <f>O33+L33</f>
        <v>#REF!</v>
      </c>
      <c r="Q33"/>
      <c r="R33"/>
      <c r="S33"/>
    </row>
    <row r="34" spans="1:21" ht="32" hidden="1" x14ac:dyDescent="0.2">
      <c r="A34" s="11">
        <v>7</v>
      </c>
      <c r="B34" s="12" t="s">
        <v>15</v>
      </c>
      <c r="C34" s="12"/>
      <c r="D34" s="12"/>
      <c r="E34" s="12"/>
      <c r="F34" s="12"/>
      <c r="G34" s="12"/>
      <c r="H34" s="12"/>
      <c r="I34" s="12"/>
      <c r="J34" s="18" t="e">
        <f>(($Q$28*$R$28)+$S$28)</f>
        <v>#REF!</v>
      </c>
      <c r="K34" s="18" t="e">
        <f>+J34*0.08</f>
        <v>#REF!</v>
      </c>
      <c r="L34" s="18" t="e">
        <f>J34+K34</f>
        <v>#REF!</v>
      </c>
      <c r="M34" s="18">
        <f>250000*1.1</f>
        <v>275000</v>
      </c>
      <c r="N34" s="18" t="e">
        <f>(L34+M34)*0.1</f>
        <v>#REF!</v>
      </c>
      <c r="O34" s="18" t="e">
        <f>N34*0.19</f>
        <v>#REF!</v>
      </c>
      <c r="P34" s="18" t="e">
        <f>O34+L34+M34</f>
        <v>#REF!</v>
      </c>
      <c r="Q34"/>
      <c r="R34"/>
      <c r="S34"/>
    </row>
    <row r="35" spans="1:21" hidden="1" x14ac:dyDescent="0.2">
      <c r="I35"/>
      <c r="J35"/>
      <c r="K35"/>
      <c r="L35"/>
      <c r="M35"/>
      <c r="N35"/>
      <c r="O35" s="35" t="s">
        <v>21</v>
      </c>
      <c r="P35" s="35"/>
      <c r="Q35"/>
      <c r="R35"/>
      <c r="S35"/>
    </row>
    <row r="36" spans="1:21" hidden="1" x14ac:dyDescent="0.2">
      <c r="H36" s="20" t="s">
        <v>22</v>
      </c>
      <c r="I36"/>
      <c r="J36"/>
      <c r="K36"/>
      <c r="L36"/>
      <c r="M36"/>
      <c r="N36"/>
      <c r="O36" s="36"/>
      <c r="P36" s="36"/>
      <c r="Q36"/>
      <c r="R36"/>
      <c r="S36"/>
      <c r="T36" s="2">
        <v>7</v>
      </c>
      <c r="U36" s="2" t="s">
        <v>23</v>
      </c>
    </row>
    <row r="37" spans="1:21" hidden="1" x14ac:dyDescent="0.2">
      <c r="A37" s="37" t="s">
        <v>24</v>
      </c>
      <c r="B37" s="37"/>
      <c r="C37" s="37"/>
      <c r="D37" s="37"/>
      <c r="E37" s="37"/>
      <c r="F37" s="37"/>
      <c r="G37" s="37"/>
      <c r="H37" s="37"/>
      <c r="I37"/>
      <c r="J37"/>
      <c r="K37"/>
      <c r="L37"/>
      <c r="M37"/>
      <c r="N37"/>
      <c r="O37"/>
      <c r="P37"/>
      <c r="Q37"/>
      <c r="R37"/>
      <c r="S37"/>
    </row>
    <row r="38" spans="1:21" hidden="1" x14ac:dyDescent="0.2">
      <c r="I38"/>
      <c r="J38"/>
      <c r="K38"/>
      <c r="L38" s="19">
        <v>2251126231</v>
      </c>
      <c r="M38"/>
      <c r="N38"/>
      <c r="O38"/>
      <c r="P38"/>
      <c r="Q38"/>
      <c r="R38"/>
      <c r="S38"/>
    </row>
    <row r="39" spans="1:21" ht="15" hidden="1" customHeight="1" x14ac:dyDescent="0.2">
      <c r="A39" s="28" t="s">
        <v>25</v>
      </c>
      <c r="B39" s="28"/>
      <c r="C39" s="28"/>
      <c r="D39" s="28"/>
      <c r="E39" s="28"/>
      <c r="F39" s="28"/>
      <c r="G39" s="28"/>
      <c r="H39" s="28"/>
    </row>
    <row r="40" spans="1:21" hidden="1" x14ac:dyDescent="0.2">
      <c r="A40" s="28"/>
      <c r="B40" s="28"/>
      <c r="C40" s="28"/>
      <c r="D40" s="28"/>
      <c r="E40" s="28"/>
      <c r="F40" s="28"/>
      <c r="G40" s="28"/>
      <c r="H40" s="28"/>
    </row>
    <row r="41" spans="1:21" hidden="1" x14ac:dyDescent="0.2">
      <c r="A41" s="28"/>
      <c r="B41" s="28"/>
      <c r="C41" s="28"/>
      <c r="D41" s="28"/>
      <c r="E41" s="28"/>
      <c r="F41" s="28"/>
      <c r="G41" s="28"/>
      <c r="H41" s="28"/>
    </row>
    <row r="42" spans="1:21" hidden="1" x14ac:dyDescent="0.2">
      <c r="A42" s="28"/>
      <c r="B42" s="28"/>
      <c r="C42" s="28"/>
      <c r="D42" s="28"/>
      <c r="E42" s="28"/>
      <c r="F42" s="28"/>
      <c r="G42" s="28"/>
      <c r="H42" s="28"/>
    </row>
    <row r="43" spans="1:21" hidden="1" x14ac:dyDescent="0.2">
      <c r="A43" s="28"/>
      <c r="B43" s="28"/>
      <c r="C43" s="28"/>
      <c r="D43" s="28"/>
      <c r="E43" s="28"/>
      <c r="F43" s="28"/>
      <c r="G43" s="28"/>
      <c r="H43" s="28"/>
    </row>
    <row r="44" spans="1:21" s="1" customFormat="1" hidden="1" x14ac:dyDescent="0.2">
      <c r="A44" s="28"/>
      <c r="B44" s="28"/>
      <c r="C44" s="28"/>
      <c r="D44" s="28"/>
      <c r="E44" s="28"/>
      <c r="F44" s="28"/>
      <c r="G44" s="28"/>
      <c r="H44" s="28"/>
      <c r="Q44" s="2"/>
      <c r="R44" s="2"/>
      <c r="S44" s="2"/>
      <c r="T44" s="2"/>
      <c r="U44" s="2"/>
    </row>
    <row r="45" spans="1:21" s="1" customFormat="1" hidden="1" x14ac:dyDescent="0.2">
      <c r="A45" s="28"/>
      <c r="B45" s="28"/>
      <c r="C45" s="28"/>
      <c r="D45" s="28"/>
      <c r="E45" s="28"/>
      <c r="F45" s="28"/>
      <c r="G45" s="28"/>
      <c r="H45" s="28"/>
      <c r="Q45" s="2"/>
      <c r="R45" s="2"/>
      <c r="S45" s="2"/>
      <c r="T45" s="2"/>
      <c r="U45" s="2"/>
    </row>
    <row r="46" spans="1:21" s="1" customFormat="1" hidden="1" x14ac:dyDescent="0.2">
      <c r="A46" s="28"/>
      <c r="B46" s="28"/>
      <c r="C46" s="28"/>
      <c r="D46" s="28"/>
      <c r="E46" s="28"/>
      <c r="F46" s="28"/>
      <c r="G46" s="28"/>
      <c r="H46" s="28"/>
      <c r="Q46" s="2"/>
      <c r="R46" s="2"/>
      <c r="S46" s="2"/>
      <c r="T46" s="2"/>
      <c r="U46" s="2"/>
    </row>
    <row r="47" spans="1:21" s="1" customFormat="1" hidden="1" x14ac:dyDescent="0.2">
      <c r="A47" s="28"/>
      <c r="B47" s="28"/>
      <c r="C47" s="28"/>
      <c r="D47" s="28"/>
      <c r="E47" s="28"/>
      <c r="F47" s="28"/>
      <c r="G47" s="28"/>
      <c r="H47" s="28"/>
      <c r="Q47" s="2"/>
      <c r="R47" s="2"/>
      <c r="S47" s="2"/>
      <c r="T47" s="2"/>
      <c r="U47" s="2"/>
    </row>
    <row r="48" spans="1:21" s="1" customFormat="1" hidden="1" x14ac:dyDescent="0.2">
      <c r="A48" s="28"/>
      <c r="B48" s="28"/>
      <c r="C48" s="28"/>
      <c r="D48" s="28"/>
      <c r="E48" s="28"/>
      <c r="F48" s="28"/>
      <c r="G48" s="28"/>
      <c r="H48" s="28"/>
      <c r="Q48" s="2"/>
      <c r="R48" s="2"/>
      <c r="S48" s="2"/>
      <c r="T48" s="2"/>
      <c r="U48" s="2"/>
    </row>
    <row r="49" spans="1:21" s="1" customFormat="1" hidden="1" x14ac:dyDescent="0.2">
      <c r="A49" s="28"/>
      <c r="B49" s="28"/>
      <c r="C49" s="28"/>
      <c r="D49" s="28"/>
      <c r="E49" s="28"/>
      <c r="F49" s="28"/>
      <c r="G49" s="28"/>
      <c r="H49" s="28"/>
      <c r="Q49" s="2"/>
      <c r="R49" s="2"/>
      <c r="S49" s="2"/>
      <c r="T49" s="2"/>
      <c r="U49" s="2"/>
    </row>
    <row r="50" spans="1:21" s="1" customFormat="1" hidden="1" x14ac:dyDescent="0.2">
      <c r="A50" s="28"/>
      <c r="B50" s="28"/>
      <c r="C50" s="28"/>
      <c r="D50" s="28"/>
      <c r="E50" s="28"/>
      <c r="F50" s="28"/>
      <c r="G50" s="28"/>
      <c r="H50" s="28"/>
      <c r="Q50" s="2"/>
      <c r="R50" s="2"/>
      <c r="S50" s="2"/>
      <c r="T50" s="2"/>
      <c r="U50" s="2"/>
    </row>
    <row r="51" spans="1:21" s="1" customFormat="1" hidden="1" x14ac:dyDescent="0.2">
      <c r="A51" s="28"/>
      <c r="B51" s="28"/>
      <c r="C51" s="28"/>
      <c r="D51" s="28"/>
      <c r="E51" s="28"/>
      <c r="F51" s="28"/>
      <c r="G51" s="28"/>
      <c r="H51" s="28"/>
      <c r="Q51" s="2"/>
      <c r="R51" s="2"/>
      <c r="S51" s="2"/>
      <c r="T51" s="2"/>
      <c r="U51" s="2"/>
    </row>
    <row r="52" spans="1:21" s="1" customFormat="1" hidden="1" x14ac:dyDescent="0.2">
      <c r="A52" s="28"/>
      <c r="B52" s="28"/>
      <c r="C52" s="28"/>
      <c r="D52" s="28"/>
      <c r="E52" s="28"/>
      <c r="F52" s="28"/>
      <c r="G52" s="28"/>
      <c r="H52" s="28"/>
      <c r="Q52" s="2"/>
      <c r="R52" s="2"/>
      <c r="S52" s="2"/>
      <c r="T52" s="2"/>
      <c r="U52" s="2"/>
    </row>
    <row r="53" spans="1:21" s="1" customFormat="1" hidden="1" x14ac:dyDescent="0.2">
      <c r="A53" s="28"/>
      <c r="B53" s="28"/>
      <c r="C53" s="28"/>
      <c r="D53" s="28"/>
      <c r="E53" s="28"/>
      <c r="F53" s="28"/>
      <c r="G53" s="28"/>
      <c r="H53" s="28"/>
      <c r="Q53" s="2"/>
      <c r="R53" s="2"/>
      <c r="S53" s="2"/>
      <c r="T53" s="2"/>
      <c r="U53" s="2"/>
    </row>
    <row r="54" spans="1:21" s="1" customFormat="1" hidden="1" x14ac:dyDescent="0.2">
      <c r="A54" s="28"/>
      <c r="B54" s="28"/>
      <c r="C54" s="28"/>
      <c r="D54" s="28"/>
      <c r="E54" s="28"/>
      <c r="F54" s="28"/>
      <c r="G54" s="28"/>
      <c r="H54" s="28"/>
      <c r="Q54" s="2"/>
      <c r="R54" s="2"/>
      <c r="S54" s="2"/>
      <c r="T54" s="2"/>
      <c r="U54" s="2"/>
    </row>
    <row r="55" spans="1:21" s="1" customFormat="1" hidden="1" x14ac:dyDescent="0.2">
      <c r="A55"/>
      <c r="B55"/>
      <c r="C55"/>
      <c r="D55"/>
      <c r="E55"/>
      <c r="F55"/>
      <c r="G55"/>
      <c r="H55"/>
      <c r="Q55" s="2"/>
      <c r="R55" s="2"/>
      <c r="S55" s="2"/>
      <c r="T55" s="2"/>
      <c r="U55" s="2"/>
    </row>
    <row r="56" spans="1:21" s="1" customFormat="1" hidden="1" x14ac:dyDescent="0.2">
      <c r="A56"/>
      <c r="B56"/>
      <c r="C56"/>
      <c r="D56"/>
      <c r="E56"/>
      <c r="F56"/>
      <c r="G56"/>
      <c r="H56"/>
      <c r="Q56" s="2"/>
      <c r="R56" s="2"/>
      <c r="S56" s="2"/>
      <c r="T56" s="2"/>
      <c r="U56" s="2"/>
    </row>
    <row r="59" spans="1:21" x14ac:dyDescent="0.2">
      <c r="E59" s="24"/>
      <c r="F59" s="24"/>
    </row>
    <row r="60" spans="1:21" x14ac:dyDescent="0.2">
      <c r="E60" s="24"/>
      <c r="F60" s="24"/>
    </row>
  </sheetData>
  <mergeCells count="10">
    <mergeCell ref="A39:H54"/>
    <mergeCell ref="E8:G8"/>
    <mergeCell ref="O8:P8"/>
    <mergeCell ref="E9:G9"/>
    <mergeCell ref="O9:P9"/>
    <mergeCell ref="A12:L15"/>
    <mergeCell ref="A28:P28"/>
    <mergeCell ref="O35:P35"/>
    <mergeCell ref="O36:P36"/>
    <mergeCell ref="A37:H37"/>
  </mergeCells>
  <pageMargins left="0.7" right="0.7" top="1.3149999999999999" bottom="0.75" header="0.3" footer="0.3"/>
  <pageSetup paperSize="9" scale="65" orientation="portrait"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8FA55-4609-440A-B30C-074D1774140D}">
  <dimension ref="A2:U61"/>
  <sheetViews>
    <sheetView showGridLines="0" topLeftCell="A3" workbookViewId="0">
      <selection activeCell="A8" sqref="A8"/>
    </sheetView>
  </sheetViews>
  <sheetFormatPr baseColWidth="10" defaultRowHeight="15" x14ac:dyDescent="0.2"/>
  <cols>
    <col min="1" max="1" width="5.5" bestFit="1" customWidth="1"/>
    <col min="2" max="2" width="42.33203125" customWidth="1"/>
    <col min="3" max="3" width="5.1640625" bestFit="1" customWidth="1"/>
    <col min="4" max="4" width="10.33203125" bestFit="1" customWidth="1"/>
    <col min="5" max="8" width="16.6640625" customWidth="1"/>
    <col min="9" max="9" width="16.6640625" style="1" customWidth="1"/>
    <col min="10" max="10" width="15.83203125" style="1" customWidth="1"/>
    <col min="11" max="11" width="12.83203125" style="1" customWidth="1"/>
    <col min="12" max="12" width="14.6640625" style="1" customWidth="1"/>
    <col min="13" max="13" width="13.5" style="1" customWidth="1"/>
    <col min="14" max="14" width="13.6640625" style="1" customWidth="1"/>
    <col min="15" max="15" width="13.33203125" style="1" customWidth="1"/>
    <col min="16" max="16" width="16.33203125" style="1" customWidth="1"/>
    <col min="17" max="17" width="14.5" style="2" customWidth="1"/>
    <col min="18" max="18" width="11.5" style="2" customWidth="1"/>
    <col min="19" max="19" width="12" style="2" customWidth="1"/>
    <col min="20" max="21" width="11.5" style="2"/>
  </cols>
  <sheetData>
    <row r="2" spans="1:19" x14ac:dyDescent="0.2">
      <c r="A2" s="38" t="s">
        <v>26</v>
      </c>
      <c r="B2" s="30"/>
      <c r="C2" s="30"/>
      <c r="D2" s="30"/>
      <c r="E2" s="30"/>
      <c r="F2" s="30"/>
      <c r="G2" s="30"/>
      <c r="H2" s="30"/>
      <c r="I2"/>
      <c r="J2"/>
      <c r="K2"/>
      <c r="L2"/>
      <c r="M2"/>
      <c r="N2"/>
      <c r="O2"/>
      <c r="P2"/>
      <c r="Q2"/>
      <c r="R2"/>
      <c r="S2"/>
    </row>
    <row r="3" spans="1:19" x14ac:dyDescent="0.2">
      <c r="A3" s="30"/>
      <c r="B3" s="30"/>
      <c r="C3" s="30"/>
      <c r="D3" s="30"/>
      <c r="E3" s="30"/>
      <c r="F3" s="30"/>
      <c r="G3" s="30"/>
      <c r="H3" s="30"/>
      <c r="I3"/>
      <c r="J3"/>
      <c r="K3"/>
      <c r="L3"/>
      <c r="M3"/>
      <c r="N3"/>
      <c r="O3"/>
      <c r="P3"/>
      <c r="Q3"/>
      <c r="R3"/>
      <c r="S3"/>
    </row>
    <row r="4" spans="1:19" ht="9" customHeight="1" x14ac:dyDescent="0.2">
      <c r="A4" s="30"/>
      <c r="B4" s="30"/>
      <c r="C4" s="30"/>
      <c r="D4" s="30"/>
      <c r="E4" s="30"/>
      <c r="F4" s="30"/>
      <c r="G4" s="30"/>
      <c r="H4" s="30"/>
      <c r="I4"/>
      <c r="J4"/>
      <c r="K4"/>
      <c r="L4"/>
      <c r="M4"/>
      <c r="N4"/>
      <c r="O4"/>
      <c r="P4"/>
      <c r="Q4"/>
      <c r="R4"/>
      <c r="S4"/>
    </row>
    <row r="5" spans="1:19" x14ac:dyDescent="0.2">
      <c r="I5"/>
      <c r="J5"/>
      <c r="K5"/>
      <c r="L5"/>
      <c r="M5"/>
      <c r="N5"/>
      <c r="O5"/>
      <c r="P5"/>
      <c r="Q5"/>
      <c r="R5"/>
      <c r="S5"/>
    </row>
    <row r="6" spans="1:19" ht="36.75" customHeight="1" x14ac:dyDescent="0.2">
      <c r="A6" s="33" t="s">
        <v>35</v>
      </c>
      <c r="B6" s="33"/>
      <c r="C6" s="33"/>
      <c r="D6" s="33"/>
      <c r="E6" s="33"/>
      <c r="F6" s="33"/>
      <c r="G6" s="33"/>
      <c r="H6" s="33"/>
      <c r="I6" s="3"/>
      <c r="J6" s="3"/>
      <c r="K6" s="3"/>
      <c r="L6" s="3"/>
      <c r="M6" s="3"/>
      <c r="N6" s="3"/>
      <c r="O6" s="3"/>
      <c r="P6" s="3"/>
      <c r="Q6" s="4">
        <v>1423500</v>
      </c>
      <c r="R6" s="5">
        <v>9.2899999999999991</v>
      </c>
      <c r="S6" s="4">
        <v>10000</v>
      </c>
    </row>
    <row r="7" spans="1:19" ht="64" x14ac:dyDescent="0.2">
      <c r="A7" s="7" t="s">
        <v>0</v>
      </c>
      <c r="B7" s="7" t="s">
        <v>1</v>
      </c>
      <c r="C7" s="7" t="s">
        <v>2</v>
      </c>
      <c r="D7" s="7" t="s">
        <v>3</v>
      </c>
      <c r="E7" s="17" t="s">
        <v>4</v>
      </c>
      <c r="F7" s="17" t="s">
        <v>36</v>
      </c>
      <c r="G7" s="17" t="s">
        <v>33</v>
      </c>
      <c r="H7" s="17" t="s">
        <v>34</v>
      </c>
      <c r="I7" s="8"/>
      <c r="J7" s="9" t="s">
        <v>4</v>
      </c>
      <c r="K7" s="10" t="s">
        <v>5</v>
      </c>
      <c r="L7" s="10" t="s">
        <v>6</v>
      </c>
      <c r="M7" s="9" t="s">
        <v>7</v>
      </c>
      <c r="N7" s="10" t="s">
        <v>8</v>
      </c>
      <c r="O7" s="10" t="s">
        <v>9</v>
      </c>
      <c r="P7" s="9" t="s">
        <v>10</v>
      </c>
      <c r="Q7"/>
      <c r="R7"/>
      <c r="S7"/>
    </row>
    <row r="8" spans="1:19" ht="64" x14ac:dyDescent="0.2">
      <c r="A8" s="11">
        <v>1</v>
      </c>
      <c r="B8" s="12" t="s">
        <v>27</v>
      </c>
      <c r="C8" s="12" t="s">
        <v>2</v>
      </c>
      <c r="D8" s="11">
        <v>26</v>
      </c>
      <c r="E8" s="21">
        <f>+L8+M8</f>
        <v>17409910.199999996</v>
      </c>
      <c r="F8" s="21">
        <f>O8</f>
        <v>330788.29379999993</v>
      </c>
      <c r="G8" s="21">
        <f>E8+F8</f>
        <v>17740698.493799996</v>
      </c>
      <c r="H8" s="21">
        <f>+G8*D8</f>
        <v>461258160.83879989</v>
      </c>
      <c r="I8" s="13"/>
      <c r="J8" s="14">
        <f>(($Q$6*$R$6)+$S$6)</f>
        <v>13234314.999999998</v>
      </c>
      <c r="K8" s="14">
        <f>+J8*0.08</f>
        <v>1058745.2</v>
      </c>
      <c r="L8" s="14">
        <f>J8+K8</f>
        <v>14293060.199999997</v>
      </c>
      <c r="M8" s="14">
        <v>3116850</v>
      </c>
      <c r="N8" s="14">
        <f>(L8+M8)*0.1</f>
        <v>1740991.0199999996</v>
      </c>
      <c r="O8" s="14">
        <f>N8*0.19</f>
        <v>330788.29379999993</v>
      </c>
      <c r="P8" s="14">
        <f>O8+L8+M8</f>
        <v>17740698.493799999</v>
      </c>
      <c r="Q8"/>
      <c r="R8"/>
      <c r="S8"/>
    </row>
    <row r="9" spans="1:19" ht="64" x14ac:dyDescent="0.2">
      <c r="A9" s="11">
        <v>2</v>
      </c>
      <c r="B9" s="12" t="s">
        <v>30</v>
      </c>
      <c r="C9" s="12" t="s">
        <v>2</v>
      </c>
      <c r="D9" s="11">
        <v>1</v>
      </c>
      <c r="E9" s="21">
        <f>+L9+M9</f>
        <v>13035000</v>
      </c>
      <c r="F9" s="21">
        <f t="shared" ref="F9:F12" si="0">O9</f>
        <v>247665</v>
      </c>
      <c r="G9" s="21">
        <f>E9+F9</f>
        <v>13282665</v>
      </c>
      <c r="H9" s="21">
        <f>+G9*D9</f>
        <v>13282665</v>
      </c>
      <c r="I9" s="13"/>
      <c r="J9" s="14">
        <f>8850000*1.1</f>
        <v>9735000</v>
      </c>
      <c r="K9" s="14"/>
      <c r="L9" s="14">
        <f>J9</f>
        <v>9735000</v>
      </c>
      <c r="M9" s="14">
        <f>3000000*1.1</f>
        <v>3300000.0000000005</v>
      </c>
      <c r="N9" s="14">
        <f>(L9+M9)*0.1</f>
        <v>1303500</v>
      </c>
      <c r="O9" s="14">
        <f>N9*0.19</f>
        <v>247665</v>
      </c>
      <c r="P9" s="14">
        <f>O9+L9+M9</f>
        <v>13282665</v>
      </c>
      <c r="Q9"/>
      <c r="R9"/>
      <c r="S9"/>
    </row>
    <row r="10" spans="1:19" ht="48" x14ac:dyDescent="0.2">
      <c r="A10" s="11">
        <v>3</v>
      </c>
      <c r="B10" s="12" t="s">
        <v>13</v>
      </c>
      <c r="C10" s="12" t="s">
        <v>2</v>
      </c>
      <c r="D10" s="11">
        <v>2</v>
      </c>
      <c r="E10" s="21">
        <f>+L10</f>
        <v>18155842.199999999</v>
      </c>
      <c r="F10" s="21">
        <f t="shared" si="0"/>
        <v>344961.00180000003</v>
      </c>
      <c r="G10" s="21">
        <f t="shared" ref="G10" si="1">E10+F10</f>
        <v>18500803.2018</v>
      </c>
      <c r="H10" s="21">
        <f>+G10*D10</f>
        <v>37001606.4036</v>
      </c>
      <c r="I10" s="13"/>
      <c r="J10" s="14">
        <f>(((Q6+R10)*R6)+S6)</f>
        <v>16810965</v>
      </c>
      <c r="K10" s="14">
        <f>J10*0.08</f>
        <v>1344877.2</v>
      </c>
      <c r="L10" s="14">
        <f>J10+K10</f>
        <v>18155842.199999999</v>
      </c>
      <c r="M10" s="14"/>
      <c r="N10" s="14">
        <f>L10*0.1</f>
        <v>1815584.22</v>
      </c>
      <c r="O10" s="14">
        <f>+N10*0.19</f>
        <v>344961.00180000003</v>
      </c>
      <c r="P10" s="14">
        <f>O10+L10</f>
        <v>18500803.2018</v>
      </c>
      <c r="Q10"/>
      <c r="R10">
        <v>385000</v>
      </c>
      <c r="S10"/>
    </row>
    <row r="11" spans="1:19" ht="48" x14ac:dyDescent="0.2">
      <c r="A11" s="11">
        <v>4</v>
      </c>
      <c r="B11" s="12" t="s">
        <v>28</v>
      </c>
      <c r="C11" s="12" t="s">
        <v>2</v>
      </c>
      <c r="D11" s="11">
        <v>6</v>
      </c>
      <c r="E11" s="21">
        <f>+L11</f>
        <v>6399860.6351519991</v>
      </c>
      <c r="F11" s="21">
        <f t="shared" si="0"/>
        <v>121597.35206788799</v>
      </c>
      <c r="G11" s="21">
        <f>E11+F11</f>
        <v>6521457.9872198869</v>
      </c>
      <c r="H11" s="21">
        <f>+G11*D11</f>
        <v>39128747.923319325</v>
      </c>
      <c r="I11" s="13"/>
      <c r="J11" s="14">
        <f>((Q6*R6)+S6)*0.5597/15*12</f>
        <v>5925796.8843999989</v>
      </c>
      <c r="K11" s="14">
        <f>J11*0.08</f>
        <v>474063.75075199991</v>
      </c>
      <c r="L11" s="14">
        <f>J11+K11</f>
        <v>6399860.6351519991</v>
      </c>
      <c r="M11" s="14"/>
      <c r="N11" s="14">
        <f>L11*0.1</f>
        <v>639986.06351519993</v>
      </c>
      <c r="O11" s="14">
        <f>+N11*0.19</f>
        <v>121597.35206788799</v>
      </c>
      <c r="P11" s="14">
        <f>O11+L11</f>
        <v>6521457.9872198869</v>
      </c>
      <c r="Q11"/>
      <c r="R11"/>
      <c r="S11"/>
    </row>
    <row r="12" spans="1:19" ht="48" x14ac:dyDescent="0.2">
      <c r="A12" s="11">
        <v>5</v>
      </c>
      <c r="B12" s="12" t="s">
        <v>29</v>
      </c>
      <c r="C12" s="12" t="s">
        <v>2</v>
      </c>
      <c r="D12" s="11">
        <v>6</v>
      </c>
      <c r="E12" s="21">
        <f>+L12+M12</f>
        <v>14568060.199999997</v>
      </c>
      <c r="F12" s="21">
        <f t="shared" si="0"/>
        <v>276793.14379999996</v>
      </c>
      <c r="G12" s="21">
        <f>E12+F12</f>
        <v>14844853.343799997</v>
      </c>
      <c r="H12" s="21">
        <f>+G12*D12</f>
        <v>89069120.06279999</v>
      </c>
      <c r="I12" s="13"/>
      <c r="J12" s="14">
        <f>(($Q$6*$R$6)+$S$6)</f>
        <v>13234314.999999998</v>
      </c>
      <c r="K12" s="14">
        <f>+J12*0.08</f>
        <v>1058745.2</v>
      </c>
      <c r="L12" s="14">
        <f>J12+K12</f>
        <v>14293060.199999997</v>
      </c>
      <c r="M12" s="14">
        <f>250000*1.1</f>
        <v>275000</v>
      </c>
      <c r="N12" s="14">
        <f>(L12+M12)*0.1</f>
        <v>1456806.0199999998</v>
      </c>
      <c r="O12" s="14">
        <f>N12*0.19</f>
        <v>276793.14379999996</v>
      </c>
      <c r="P12" s="14">
        <f>O12+L12+M12</f>
        <v>14844853.343799997</v>
      </c>
      <c r="Q12"/>
      <c r="R12"/>
      <c r="S12"/>
    </row>
    <row r="13" spans="1:19" x14ac:dyDescent="0.2">
      <c r="E13" s="39" t="s">
        <v>31</v>
      </c>
      <c r="F13" s="39"/>
      <c r="G13" s="39"/>
      <c r="H13" s="22">
        <f t="shared" ref="H13" si="2">SUM(H8:H12)</f>
        <v>639740300.2285192</v>
      </c>
      <c r="I13" s="15"/>
      <c r="J13"/>
      <c r="K13"/>
      <c r="L13"/>
      <c r="M13"/>
      <c r="N13"/>
      <c r="O13" s="30"/>
      <c r="P13" s="30"/>
      <c r="Q13"/>
      <c r="R13"/>
      <c r="S13"/>
    </row>
    <row r="14" spans="1:19" x14ac:dyDescent="0.2">
      <c r="E14" s="35" t="s">
        <v>32</v>
      </c>
      <c r="F14" s="35"/>
      <c r="G14" s="35"/>
      <c r="H14" s="23">
        <f>+H13*3</f>
        <v>1919220900.6855576</v>
      </c>
      <c r="I14"/>
      <c r="J14"/>
      <c r="K14"/>
      <c r="L14"/>
      <c r="M14"/>
      <c r="N14"/>
      <c r="O14" s="31"/>
      <c r="P14" s="31"/>
      <c r="Q14"/>
      <c r="R14"/>
      <c r="S14"/>
    </row>
    <row r="15" spans="1:19" hidden="1" x14ac:dyDescent="0.2">
      <c r="I15"/>
      <c r="J15"/>
      <c r="K15"/>
      <c r="L15"/>
      <c r="M15"/>
      <c r="N15"/>
      <c r="O15"/>
      <c r="P15"/>
      <c r="Q15"/>
      <c r="R15"/>
      <c r="S15"/>
    </row>
    <row r="16" spans="1:19" hidden="1" x14ac:dyDescent="0.2">
      <c r="I16"/>
      <c r="J16"/>
      <c r="K16"/>
      <c r="L16"/>
      <c r="M16"/>
      <c r="N16"/>
      <c r="O16"/>
      <c r="P16"/>
      <c r="Q16"/>
      <c r="R16"/>
      <c r="S16"/>
    </row>
    <row r="17" spans="1:21" hidden="1" x14ac:dyDescent="0.2">
      <c r="A17" s="32"/>
      <c r="B17" s="32"/>
      <c r="C17" s="32"/>
      <c r="D17" s="32"/>
      <c r="E17" s="32"/>
      <c r="F17" s="32"/>
      <c r="G17" s="32"/>
      <c r="H17" s="32"/>
      <c r="I17" s="32"/>
      <c r="J17" s="32"/>
      <c r="K17" s="32"/>
      <c r="L17" s="32"/>
      <c r="M17"/>
      <c r="N17"/>
      <c r="O17"/>
      <c r="P17"/>
      <c r="Q17"/>
      <c r="R17"/>
      <c r="S17"/>
    </row>
    <row r="18" spans="1:21" hidden="1" x14ac:dyDescent="0.2">
      <c r="A18" s="28"/>
      <c r="B18" s="28"/>
      <c r="C18" s="28"/>
      <c r="D18" s="28"/>
      <c r="E18" s="28"/>
      <c r="F18" s="28"/>
      <c r="G18" s="28"/>
      <c r="H18" s="28"/>
      <c r="I18" s="28"/>
      <c r="J18" s="28"/>
      <c r="K18" s="28"/>
      <c r="L18" s="28"/>
      <c r="M18"/>
      <c r="N18"/>
      <c r="O18"/>
      <c r="P18"/>
      <c r="Q18"/>
      <c r="R18"/>
      <c r="S18"/>
    </row>
    <row r="19" spans="1:21" hidden="1" x14ac:dyDescent="0.2">
      <c r="A19" s="28"/>
      <c r="B19" s="28"/>
      <c r="C19" s="28"/>
      <c r="D19" s="28"/>
      <c r="E19" s="28"/>
      <c r="F19" s="28"/>
      <c r="G19" s="28"/>
      <c r="H19" s="28"/>
      <c r="I19" s="28"/>
      <c r="J19" s="28"/>
      <c r="K19" s="28"/>
      <c r="L19" s="28"/>
      <c r="M19"/>
      <c r="N19"/>
      <c r="O19"/>
      <c r="P19"/>
      <c r="Q19"/>
      <c r="R19"/>
      <c r="S19"/>
    </row>
    <row r="20" spans="1:21" hidden="1" x14ac:dyDescent="0.2">
      <c r="A20" s="28"/>
      <c r="B20" s="28"/>
      <c r="C20" s="28"/>
      <c r="D20" s="28"/>
      <c r="E20" s="28"/>
      <c r="F20" s="28"/>
      <c r="G20" s="28"/>
      <c r="H20" s="28"/>
      <c r="I20" s="28"/>
      <c r="J20" s="28"/>
      <c r="K20" s="28"/>
      <c r="L20" s="28"/>
      <c r="M20"/>
      <c r="N20"/>
      <c r="O20"/>
      <c r="P20"/>
      <c r="Q20"/>
      <c r="R20"/>
      <c r="S20"/>
    </row>
    <row r="21" spans="1:21" hidden="1" x14ac:dyDescent="0.2">
      <c r="I21"/>
      <c r="J21"/>
      <c r="K21"/>
      <c r="L21"/>
      <c r="M21"/>
      <c r="N21"/>
      <c r="O21"/>
      <c r="P21"/>
      <c r="Q21"/>
      <c r="R21"/>
      <c r="S21"/>
    </row>
    <row r="22" spans="1:21" hidden="1" x14ac:dyDescent="0.2">
      <c r="I22"/>
      <c r="J22"/>
      <c r="K22"/>
      <c r="L22"/>
      <c r="M22"/>
      <c r="N22"/>
      <c r="O22"/>
      <c r="P22"/>
      <c r="Q22"/>
      <c r="R22"/>
      <c r="S22"/>
    </row>
    <row r="23" spans="1:21" hidden="1" x14ac:dyDescent="0.2">
      <c r="I23"/>
      <c r="J23"/>
      <c r="K23"/>
      <c r="L23"/>
      <c r="M23"/>
      <c r="N23"/>
      <c r="O23"/>
      <c r="P23" t="s">
        <v>16</v>
      </c>
      <c r="Q23"/>
      <c r="R23"/>
      <c r="S23"/>
    </row>
    <row r="24" spans="1:21" hidden="1" x14ac:dyDescent="0.2">
      <c r="I24"/>
      <c r="J24"/>
      <c r="K24"/>
      <c r="L24"/>
      <c r="M24"/>
      <c r="N24"/>
      <c r="O24"/>
      <c r="P24"/>
      <c r="Q24"/>
      <c r="R24"/>
      <c r="S24"/>
    </row>
    <row r="25" spans="1:21" hidden="1" x14ac:dyDescent="0.2">
      <c r="I25"/>
      <c r="J25"/>
      <c r="K25"/>
      <c r="L25"/>
      <c r="M25"/>
      <c r="N25"/>
      <c r="O25"/>
      <c r="P25"/>
      <c r="Q25"/>
      <c r="R25"/>
      <c r="S25"/>
    </row>
    <row r="26" spans="1:21" hidden="1" x14ac:dyDescent="0.2">
      <c r="I26"/>
      <c r="J26"/>
      <c r="K26"/>
      <c r="L26"/>
      <c r="M26"/>
      <c r="N26"/>
      <c r="O26"/>
      <c r="P26"/>
      <c r="Q26"/>
      <c r="R26"/>
      <c r="S26"/>
    </row>
    <row r="27" spans="1:21" hidden="1" x14ac:dyDescent="0.2">
      <c r="I27"/>
      <c r="J27"/>
      <c r="K27"/>
      <c r="L27"/>
      <c r="M27"/>
      <c r="N27"/>
      <c r="O27"/>
      <c r="P27"/>
      <c r="Q27"/>
      <c r="R27"/>
      <c r="S27"/>
    </row>
    <row r="28" spans="1:21" hidden="1" x14ac:dyDescent="0.2">
      <c r="I28"/>
      <c r="J28"/>
      <c r="K28"/>
      <c r="L28"/>
      <c r="M28"/>
      <c r="N28"/>
      <c r="O28"/>
      <c r="P28"/>
      <c r="Q28"/>
      <c r="R28"/>
      <c r="S28"/>
    </row>
    <row r="29" spans="1:21" hidden="1" x14ac:dyDescent="0.2">
      <c r="I29"/>
      <c r="J29"/>
      <c r="K29"/>
      <c r="L29"/>
      <c r="M29"/>
      <c r="N29"/>
      <c r="O29"/>
      <c r="P29"/>
      <c r="Q29"/>
      <c r="R29"/>
      <c r="S29"/>
    </row>
    <row r="30" spans="1:21" hidden="1" x14ac:dyDescent="0.2">
      <c r="I30"/>
      <c r="J30"/>
      <c r="K30"/>
      <c r="L30"/>
      <c r="M30"/>
      <c r="N30"/>
      <c r="O30"/>
      <c r="P30"/>
      <c r="Q30"/>
      <c r="R30"/>
      <c r="S30"/>
    </row>
    <row r="31" spans="1:21" hidden="1" x14ac:dyDescent="0.2">
      <c r="I31"/>
      <c r="J31"/>
      <c r="K31"/>
      <c r="L31"/>
      <c r="M31"/>
      <c r="N31"/>
      <c r="O31"/>
      <c r="P31"/>
      <c r="Q31"/>
      <c r="R31"/>
      <c r="S31"/>
    </row>
    <row r="32" spans="1:21" hidden="1" x14ac:dyDescent="0.2">
      <c r="H32" s="20" t="s">
        <v>17</v>
      </c>
      <c r="I32"/>
      <c r="J32"/>
      <c r="K32"/>
      <c r="L32"/>
      <c r="M32"/>
      <c r="N32"/>
      <c r="O32"/>
      <c r="P32"/>
      <c r="Q32"/>
      <c r="R32"/>
      <c r="S32"/>
      <c r="T32" s="2">
        <v>30</v>
      </c>
      <c r="U32" s="2" t="s">
        <v>18</v>
      </c>
    </row>
    <row r="33" spans="1:21" ht="34.5" hidden="1" customHeight="1" x14ac:dyDescent="0.2">
      <c r="A33" s="33" t="s">
        <v>19</v>
      </c>
      <c r="B33" s="34"/>
      <c r="C33" s="34"/>
      <c r="D33" s="34"/>
      <c r="E33" s="34"/>
      <c r="F33" s="34"/>
      <c r="G33" s="34"/>
      <c r="H33" s="34"/>
      <c r="I33" s="34"/>
      <c r="J33" s="34"/>
      <c r="K33" s="34"/>
      <c r="L33" s="34"/>
      <c r="M33" s="34"/>
      <c r="N33" s="34"/>
      <c r="O33" s="34"/>
      <c r="P33" s="34"/>
      <c r="Q33">
        <v>1423500</v>
      </c>
      <c r="R33">
        <v>9.2899999999999991</v>
      </c>
      <c r="S33">
        <f>+S6</f>
        <v>10000</v>
      </c>
      <c r="T33" s="2">
        <v>7</v>
      </c>
    </row>
    <row r="34" spans="1:21" ht="48" hidden="1" x14ac:dyDescent="0.2">
      <c r="A34" s="6" t="s">
        <v>0</v>
      </c>
      <c r="B34" s="7" t="s">
        <v>1</v>
      </c>
      <c r="C34" s="7"/>
      <c r="D34" s="7"/>
      <c r="E34" s="7"/>
      <c r="F34" s="7"/>
      <c r="G34" s="7"/>
      <c r="H34" s="7"/>
      <c r="I34" s="16"/>
      <c r="J34" s="17" t="s">
        <v>20</v>
      </c>
      <c r="K34" s="7" t="s">
        <v>5</v>
      </c>
      <c r="L34" s="7" t="s">
        <v>6</v>
      </c>
      <c r="M34" s="17" t="s">
        <v>7</v>
      </c>
      <c r="N34" s="7" t="s">
        <v>8</v>
      </c>
      <c r="O34" s="7" t="s">
        <v>9</v>
      </c>
      <c r="P34" s="17" t="s">
        <v>10</v>
      </c>
      <c r="Q34"/>
      <c r="R34"/>
      <c r="S34"/>
    </row>
    <row r="35" spans="1:21" ht="80" hidden="1" x14ac:dyDescent="0.2">
      <c r="A35" s="11">
        <v>1</v>
      </c>
      <c r="B35" s="12" t="s">
        <v>11</v>
      </c>
      <c r="C35" s="12"/>
      <c r="D35" s="12"/>
      <c r="E35" s="12"/>
      <c r="F35" s="12"/>
      <c r="G35" s="12"/>
      <c r="H35" s="12"/>
      <c r="I35" s="12"/>
      <c r="J35" s="18">
        <f>(($Q$33*$R$33)+$S$33)</f>
        <v>13234314.999999998</v>
      </c>
      <c r="K35" s="18">
        <f>+J35*0.08</f>
        <v>1058745.2</v>
      </c>
      <c r="L35" s="18">
        <f>J35+K35</f>
        <v>14293060.199999997</v>
      </c>
      <c r="M35" s="18">
        <v>3116850</v>
      </c>
      <c r="N35" s="18">
        <f>(L35+M35)*0.1</f>
        <v>1740991.0199999996</v>
      </c>
      <c r="O35" s="18">
        <f>N35*0.19</f>
        <v>330788.29379999993</v>
      </c>
      <c r="P35" s="18">
        <f>O35+L35+M35</f>
        <v>17740698.493799999</v>
      </c>
      <c r="Q35"/>
      <c r="R35"/>
      <c r="S35"/>
    </row>
    <row r="36" spans="1:21" ht="48" hidden="1" x14ac:dyDescent="0.2">
      <c r="A36" s="11">
        <v>3</v>
      </c>
      <c r="B36" s="12" t="s">
        <v>12</v>
      </c>
      <c r="C36" s="12"/>
      <c r="D36" s="12"/>
      <c r="E36" s="12"/>
      <c r="F36" s="12"/>
      <c r="G36" s="12"/>
      <c r="H36" s="12"/>
      <c r="I36" s="12"/>
      <c r="J36" s="18">
        <f>8850000*1.1</f>
        <v>9735000</v>
      </c>
      <c r="K36" s="18"/>
      <c r="L36" s="18">
        <f>J36</f>
        <v>9735000</v>
      </c>
      <c r="M36" s="18">
        <f>3000000*1.1</f>
        <v>3300000.0000000005</v>
      </c>
      <c r="N36" s="18">
        <f>(L36+M36)*0.1</f>
        <v>1303500</v>
      </c>
      <c r="O36" s="18">
        <f>N36*0.19</f>
        <v>247665</v>
      </c>
      <c r="P36" s="18">
        <f>O36+L36+M36</f>
        <v>13282665</v>
      </c>
      <c r="Q36"/>
      <c r="R36"/>
      <c r="S36"/>
    </row>
    <row r="37" spans="1:21" ht="48" hidden="1" x14ac:dyDescent="0.2">
      <c r="A37" s="11">
        <v>4</v>
      </c>
      <c r="B37" s="12" t="s">
        <v>13</v>
      </c>
      <c r="C37" s="12"/>
      <c r="D37" s="12"/>
      <c r="E37" s="12"/>
      <c r="F37" s="12"/>
      <c r="G37" s="12"/>
      <c r="H37" s="12"/>
      <c r="I37" s="12"/>
      <c r="J37" s="18">
        <f>(((Q33+R37)*R33)+S33)</f>
        <v>16810965</v>
      </c>
      <c r="K37" s="18">
        <f>J37*0.08</f>
        <v>1344877.2</v>
      </c>
      <c r="L37" s="18">
        <f>J37+K37</f>
        <v>18155842.199999999</v>
      </c>
      <c r="M37" s="18"/>
      <c r="N37" s="18">
        <f>L37*0.1</f>
        <v>1815584.22</v>
      </c>
      <c r="O37" s="18">
        <f>+N37*0.19</f>
        <v>344961.00180000003</v>
      </c>
      <c r="P37" s="18">
        <f>O37+L37</f>
        <v>18500803.2018</v>
      </c>
      <c r="Q37"/>
      <c r="R37">
        <f>+R10</f>
        <v>385000</v>
      </c>
      <c r="S37"/>
    </row>
    <row r="38" spans="1:21" ht="48" hidden="1" x14ac:dyDescent="0.2">
      <c r="A38" s="11">
        <v>6</v>
      </c>
      <c r="B38" s="12" t="s">
        <v>14</v>
      </c>
      <c r="C38" s="12"/>
      <c r="D38" s="12"/>
      <c r="E38" s="12"/>
      <c r="F38" s="12"/>
      <c r="G38" s="12"/>
      <c r="H38" s="12"/>
      <c r="I38" s="12"/>
      <c r="J38" s="18">
        <f>((Q33*R33)+S33)*0.5597/15*12</f>
        <v>5925796.8843999989</v>
      </c>
      <c r="K38" s="18">
        <f>J38*0.08</f>
        <v>474063.75075199991</v>
      </c>
      <c r="L38" s="18">
        <f>J38+K38</f>
        <v>6399860.6351519991</v>
      </c>
      <c r="M38" s="18"/>
      <c r="N38" s="18">
        <f>L38*0.1</f>
        <v>639986.06351519993</v>
      </c>
      <c r="O38" s="18">
        <f>+N38*0.19</f>
        <v>121597.35206788799</v>
      </c>
      <c r="P38" s="18">
        <f>O38+L38</f>
        <v>6521457.9872198869</v>
      </c>
      <c r="Q38"/>
      <c r="R38"/>
      <c r="S38"/>
    </row>
    <row r="39" spans="1:21" ht="32" hidden="1" x14ac:dyDescent="0.2">
      <c r="A39" s="11">
        <v>7</v>
      </c>
      <c r="B39" s="12" t="s">
        <v>15</v>
      </c>
      <c r="C39" s="12"/>
      <c r="D39" s="12"/>
      <c r="E39" s="12"/>
      <c r="F39" s="12"/>
      <c r="G39" s="12"/>
      <c r="H39" s="12"/>
      <c r="I39" s="12"/>
      <c r="J39" s="18">
        <f>(($Q$33*$R$33)+$S$33)</f>
        <v>13234314.999999998</v>
      </c>
      <c r="K39" s="18">
        <f>+J39*0.08</f>
        <v>1058745.2</v>
      </c>
      <c r="L39" s="18">
        <f>J39+K39</f>
        <v>14293060.199999997</v>
      </c>
      <c r="M39" s="18">
        <f>250000*1.1</f>
        <v>275000</v>
      </c>
      <c r="N39" s="18">
        <f>(L39+M39)*0.1</f>
        <v>1456806.0199999998</v>
      </c>
      <c r="O39" s="18">
        <f>N39*0.19</f>
        <v>276793.14379999996</v>
      </c>
      <c r="P39" s="18">
        <f>O39+L39+M39</f>
        <v>14844853.343799997</v>
      </c>
      <c r="Q39"/>
      <c r="R39"/>
      <c r="S39"/>
    </row>
    <row r="40" spans="1:21" hidden="1" x14ac:dyDescent="0.2">
      <c r="I40"/>
      <c r="J40"/>
      <c r="K40"/>
      <c r="L40"/>
      <c r="M40"/>
      <c r="N40"/>
      <c r="O40" s="35" t="s">
        <v>21</v>
      </c>
      <c r="P40" s="35"/>
      <c r="Q40"/>
      <c r="R40"/>
      <c r="S40"/>
    </row>
    <row r="41" spans="1:21" hidden="1" x14ac:dyDescent="0.2">
      <c r="H41" s="20" t="s">
        <v>22</v>
      </c>
      <c r="I41"/>
      <c r="J41"/>
      <c r="K41"/>
      <c r="L41"/>
      <c r="M41"/>
      <c r="N41"/>
      <c r="O41" s="36"/>
      <c r="P41" s="36"/>
      <c r="Q41"/>
      <c r="R41"/>
      <c r="S41"/>
      <c r="T41" s="2">
        <v>7</v>
      </c>
      <c r="U41" s="2" t="s">
        <v>23</v>
      </c>
    </row>
    <row r="42" spans="1:21" hidden="1" x14ac:dyDescent="0.2">
      <c r="A42" s="37" t="s">
        <v>24</v>
      </c>
      <c r="B42" s="37"/>
      <c r="C42" s="37"/>
      <c r="D42" s="37"/>
      <c r="E42" s="37"/>
      <c r="F42" s="37"/>
      <c r="G42" s="37"/>
      <c r="H42" s="37"/>
      <c r="I42"/>
      <c r="J42"/>
      <c r="K42"/>
      <c r="L42"/>
      <c r="M42"/>
      <c r="N42"/>
      <c r="O42"/>
      <c r="P42"/>
      <c r="Q42"/>
      <c r="R42"/>
      <c r="S42"/>
    </row>
    <row r="43" spans="1:21" hidden="1" x14ac:dyDescent="0.2">
      <c r="I43"/>
      <c r="J43"/>
      <c r="K43"/>
      <c r="L43" s="19">
        <v>2251126231</v>
      </c>
      <c r="M43"/>
      <c r="N43"/>
      <c r="O43"/>
      <c r="P43"/>
      <c r="Q43"/>
      <c r="R43"/>
      <c r="S43"/>
    </row>
    <row r="44" spans="1:21" ht="15" hidden="1" customHeight="1" x14ac:dyDescent="0.2">
      <c r="A44" s="28" t="s">
        <v>25</v>
      </c>
      <c r="B44" s="28"/>
      <c r="C44" s="28"/>
      <c r="D44" s="28"/>
      <c r="E44" s="28"/>
      <c r="F44" s="28"/>
      <c r="G44" s="28"/>
      <c r="H44" s="28"/>
    </row>
    <row r="45" spans="1:21" hidden="1" x14ac:dyDescent="0.2">
      <c r="A45" s="28"/>
      <c r="B45" s="28"/>
      <c r="C45" s="28"/>
      <c r="D45" s="28"/>
      <c r="E45" s="28"/>
      <c r="F45" s="28"/>
      <c r="G45" s="28"/>
      <c r="H45" s="28"/>
    </row>
    <row r="46" spans="1:21" hidden="1" x14ac:dyDescent="0.2">
      <c r="A46" s="28"/>
      <c r="B46" s="28"/>
      <c r="C46" s="28"/>
      <c r="D46" s="28"/>
      <c r="E46" s="28"/>
      <c r="F46" s="28"/>
      <c r="G46" s="28"/>
      <c r="H46" s="28"/>
    </row>
    <row r="47" spans="1:21" hidden="1" x14ac:dyDescent="0.2">
      <c r="A47" s="28"/>
      <c r="B47" s="28"/>
      <c r="C47" s="28"/>
      <c r="D47" s="28"/>
      <c r="E47" s="28"/>
      <c r="F47" s="28"/>
      <c r="G47" s="28"/>
      <c r="H47" s="28"/>
    </row>
    <row r="48" spans="1:21" hidden="1" x14ac:dyDescent="0.2">
      <c r="A48" s="28"/>
      <c r="B48" s="28"/>
      <c r="C48" s="28"/>
      <c r="D48" s="28"/>
      <c r="E48" s="28"/>
      <c r="F48" s="28"/>
      <c r="G48" s="28"/>
      <c r="H48" s="28"/>
    </row>
    <row r="49" spans="1:8" hidden="1" x14ac:dyDescent="0.2">
      <c r="A49" s="28"/>
      <c r="B49" s="28"/>
      <c r="C49" s="28"/>
      <c r="D49" s="28"/>
      <c r="E49" s="28"/>
      <c r="F49" s="28"/>
      <c r="G49" s="28"/>
      <c r="H49" s="28"/>
    </row>
    <row r="50" spans="1:8" hidden="1" x14ac:dyDescent="0.2">
      <c r="A50" s="28"/>
      <c r="B50" s="28"/>
      <c r="C50" s="28"/>
      <c r="D50" s="28"/>
      <c r="E50" s="28"/>
      <c r="F50" s="28"/>
      <c r="G50" s="28"/>
      <c r="H50" s="28"/>
    </row>
    <row r="51" spans="1:8" hidden="1" x14ac:dyDescent="0.2">
      <c r="A51" s="28"/>
      <c r="B51" s="28"/>
      <c r="C51" s="28"/>
      <c r="D51" s="28"/>
      <c r="E51" s="28"/>
      <c r="F51" s="28"/>
      <c r="G51" s="28"/>
      <c r="H51" s="28"/>
    </row>
    <row r="52" spans="1:8" hidden="1" x14ac:dyDescent="0.2">
      <c r="A52" s="28"/>
      <c r="B52" s="28"/>
      <c r="C52" s="28"/>
      <c r="D52" s="28"/>
      <c r="E52" s="28"/>
      <c r="F52" s="28"/>
      <c r="G52" s="28"/>
      <c r="H52" s="28"/>
    </row>
    <row r="53" spans="1:8" hidden="1" x14ac:dyDescent="0.2">
      <c r="A53" s="28"/>
      <c r="B53" s="28"/>
      <c r="C53" s="28"/>
      <c r="D53" s="28"/>
      <c r="E53" s="28"/>
      <c r="F53" s="28"/>
      <c r="G53" s="28"/>
      <c r="H53" s="28"/>
    </row>
    <row r="54" spans="1:8" hidden="1" x14ac:dyDescent="0.2">
      <c r="A54" s="28"/>
      <c r="B54" s="28"/>
      <c r="C54" s="28"/>
      <c r="D54" s="28"/>
      <c r="E54" s="28"/>
      <c r="F54" s="28"/>
      <c r="G54" s="28"/>
      <c r="H54" s="28"/>
    </row>
    <row r="55" spans="1:8" hidden="1" x14ac:dyDescent="0.2">
      <c r="A55" s="28"/>
      <c r="B55" s="28"/>
      <c r="C55" s="28"/>
      <c r="D55" s="28"/>
      <c r="E55" s="28"/>
      <c r="F55" s="28"/>
      <c r="G55" s="28"/>
      <c r="H55" s="28"/>
    </row>
    <row r="56" spans="1:8" hidden="1" x14ac:dyDescent="0.2">
      <c r="A56" s="28"/>
      <c r="B56" s="28"/>
      <c r="C56" s="28"/>
      <c r="D56" s="28"/>
      <c r="E56" s="28"/>
      <c r="F56" s="28"/>
      <c r="G56" s="28"/>
      <c r="H56" s="28"/>
    </row>
    <row r="57" spans="1:8" hidden="1" x14ac:dyDescent="0.2">
      <c r="A57" s="28"/>
      <c r="B57" s="28"/>
      <c r="C57" s="28"/>
      <c r="D57" s="28"/>
      <c r="E57" s="28"/>
      <c r="F57" s="28"/>
      <c r="G57" s="28"/>
      <c r="H57" s="28"/>
    </row>
    <row r="58" spans="1:8" hidden="1" x14ac:dyDescent="0.2">
      <c r="A58" s="28"/>
      <c r="B58" s="28"/>
      <c r="C58" s="28"/>
      <c r="D58" s="28"/>
      <c r="E58" s="28"/>
      <c r="F58" s="28"/>
      <c r="G58" s="28"/>
      <c r="H58" s="28"/>
    </row>
    <row r="59" spans="1:8" hidden="1" x14ac:dyDescent="0.2">
      <c r="A59" s="28"/>
      <c r="B59" s="28"/>
      <c r="C59" s="28"/>
      <c r="D59" s="28"/>
      <c r="E59" s="28"/>
      <c r="F59" s="28"/>
      <c r="G59" s="28"/>
      <c r="H59" s="28"/>
    </row>
    <row r="60" spans="1:8" hidden="1" x14ac:dyDescent="0.2"/>
    <row r="61" spans="1:8" hidden="1" x14ac:dyDescent="0.2"/>
  </sheetData>
  <mergeCells count="12">
    <mergeCell ref="A2:H4"/>
    <mergeCell ref="O13:P13"/>
    <mergeCell ref="O14:P14"/>
    <mergeCell ref="A17:L20"/>
    <mergeCell ref="A44:H59"/>
    <mergeCell ref="A33:P33"/>
    <mergeCell ref="O40:P40"/>
    <mergeCell ref="O41:P41"/>
    <mergeCell ref="A42:H42"/>
    <mergeCell ref="E13:G13"/>
    <mergeCell ref="E14:G14"/>
    <mergeCell ref="A6:H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1DC1F-44B3-4CE6-81A3-A8640AB315E5}">
  <dimension ref="A2:U61"/>
  <sheetViews>
    <sheetView topLeftCell="G2" workbookViewId="0">
      <selection activeCell="K8" sqref="K8"/>
    </sheetView>
  </sheetViews>
  <sheetFormatPr baseColWidth="10" defaultRowHeight="15" x14ac:dyDescent="0.2"/>
  <cols>
    <col min="1" max="1" width="5.5" bestFit="1" customWidth="1"/>
    <col min="2" max="2" width="42.33203125" customWidth="1"/>
    <col min="3" max="3" width="5.1640625" bestFit="1" customWidth="1"/>
    <col min="4" max="4" width="10.33203125" bestFit="1" customWidth="1"/>
    <col min="5" max="8" width="16.6640625" customWidth="1"/>
    <col min="9" max="9" width="16.6640625" style="1" customWidth="1"/>
    <col min="10" max="10" width="15.83203125" style="1" customWidth="1"/>
    <col min="11" max="11" width="12.83203125" style="1" customWidth="1"/>
    <col min="12" max="12" width="14.6640625" style="1" customWidth="1"/>
    <col min="13" max="13" width="13.5" style="1" customWidth="1"/>
    <col min="14" max="14" width="13.6640625" style="1" customWidth="1"/>
    <col min="15" max="15" width="13.33203125" style="1" customWidth="1"/>
    <col min="16" max="16" width="16.33203125" style="1" customWidth="1"/>
    <col min="17" max="17" width="15.5" style="2" bestFit="1" customWidth="1"/>
    <col min="18" max="18" width="11.5" style="2" customWidth="1"/>
    <col min="19" max="19" width="12" style="2" customWidth="1"/>
    <col min="20" max="21" width="11.5" style="2"/>
  </cols>
  <sheetData>
    <row r="2" spans="1:19" x14ac:dyDescent="0.2">
      <c r="A2" s="38" t="s">
        <v>26</v>
      </c>
      <c r="B2" s="30"/>
      <c r="C2" s="30"/>
      <c r="D2" s="30"/>
      <c r="E2" s="30"/>
      <c r="F2" s="30"/>
      <c r="G2" s="30"/>
      <c r="H2" s="30"/>
      <c r="I2"/>
      <c r="J2"/>
      <c r="K2"/>
      <c r="L2"/>
      <c r="M2"/>
      <c r="N2"/>
      <c r="O2"/>
      <c r="P2"/>
      <c r="Q2"/>
      <c r="R2"/>
      <c r="S2"/>
    </row>
    <row r="3" spans="1:19" x14ac:dyDescent="0.2">
      <c r="A3" s="30"/>
      <c r="B3" s="30"/>
      <c r="C3" s="30"/>
      <c r="D3" s="30"/>
      <c r="E3" s="30"/>
      <c r="F3" s="30"/>
      <c r="G3" s="30"/>
      <c r="H3" s="30"/>
      <c r="I3"/>
      <c r="J3"/>
      <c r="K3"/>
      <c r="L3"/>
      <c r="M3"/>
      <c r="N3"/>
      <c r="O3"/>
      <c r="P3"/>
      <c r="Q3"/>
      <c r="R3"/>
      <c r="S3"/>
    </row>
    <row r="4" spans="1:19" ht="9" customHeight="1" x14ac:dyDescent="0.2">
      <c r="A4" s="30"/>
      <c r="B4" s="30"/>
      <c r="C4" s="30"/>
      <c r="D4" s="30"/>
      <c r="E4" s="30"/>
      <c r="F4" s="30"/>
      <c r="G4" s="30"/>
      <c r="H4" s="30"/>
      <c r="I4"/>
      <c r="J4"/>
      <c r="K4"/>
      <c r="L4"/>
      <c r="M4"/>
      <c r="N4"/>
      <c r="O4"/>
      <c r="P4"/>
      <c r="Q4"/>
      <c r="R4"/>
      <c r="S4"/>
    </row>
    <row r="5" spans="1:19" x14ac:dyDescent="0.2">
      <c r="I5"/>
      <c r="J5"/>
      <c r="K5"/>
      <c r="L5"/>
      <c r="M5"/>
      <c r="N5"/>
      <c r="O5"/>
      <c r="P5"/>
      <c r="Q5" s="4">
        <f>+Q6*R6</f>
        <v>13224314.999999998</v>
      </c>
      <c r="R5"/>
      <c r="S5"/>
    </row>
    <row r="6" spans="1:19" ht="36.75" customHeight="1" x14ac:dyDescent="0.2">
      <c r="A6" s="33" t="s">
        <v>35</v>
      </c>
      <c r="B6" s="33"/>
      <c r="C6" s="33"/>
      <c r="D6" s="33"/>
      <c r="E6" s="33"/>
      <c r="F6" s="33"/>
      <c r="G6" s="33"/>
      <c r="H6" s="33"/>
      <c r="I6" s="3"/>
      <c r="J6" s="3"/>
      <c r="K6" s="3"/>
      <c r="L6" s="3"/>
      <c r="M6" s="3"/>
      <c r="N6" s="3"/>
      <c r="O6" s="3"/>
      <c r="P6" s="3"/>
      <c r="Q6" s="4">
        <v>1423500</v>
      </c>
      <c r="R6" s="5">
        <v>9.2899999999999991</v>
      </c>
      <c r="S6" s="4">
        <v>8500</v>
      </c>
    </row>
    <row r="7" spans="1:19" ht="64" x14ac:dyDescent="0.2">
      <c r="A7" s="7" t="s">
        <v>0</v>
      </c>
      <c r="B7" s="7" t="s">
        <v>1</v>
      </c>
      <c r="C7" s="7" t="s">
        <v>2</v>
      </c>
      <c r="D7" s="7" t="s">
        <v>3</v>
      </c>
      <c r="E7" s="17" t="s">
        <v>4</v>
      </c>
      <c r="F7" s="17" t="s">
        <v>36</v>
      </c>
      <c r="G7" s="17" t="s">
        <v>33</v>
      </c>
      <c r="H7" s="17" t="s">
        <v>34</v>
      </c>
      <c r="I7" s="8"/>
      <c r="J7" s="9" t="s">
        <v>4</v>
      </c>
      <c r="K7" s="10" t="s">
        <v>5</v>
      </c>
      <c r="L7" s="10" t="s">
        <v>6</v>
      </c>
      <c r="M7" s="9" t="s">
        <v>7</v>
      </c>
      <c r="N7" s="10" t="s">
        <v>8</v>
      </c>
      <c r="O7" s="10" t="s">
        <v>9</v>
      </c>
      <c r="P7" s="9" t="s">
        <v>10</v>
      </c>
      <c r="Q7"/>
      <c r="R7"/>
      <c r="S7"/>
    </row>
    <row r="8" spans="1:19" ht="64" x14ac:dyDescent="0.2">
      <c r="A8" s="11">
        <v>1</v>
      </c>
      <c r="B8" s="12" t="s">
        <v>27</v>
      </c>
      <c r="C8" s="12" t="s">
        <v>2</v>
      </c>
      <c r="D8" s="11">
        <v>26</v>
      </c>
      <c r="E8" s="21">
        <f>+L8+M8</f>
        <v>17408290.199999996</v>
      </c>
      <c r="F8" s="21">
        <f>O8</f>
        <v>330757.5137999999</v>
      </c>
      <c r="G8" s="21">
        <f>E8+F8</f>
        <v>17739047.713799994</v>
      </c>
      <c r="H8" s="21">
        <f>+G8*D8</f>
        <v>461215240.55879986</v>
      </c>
      <c r="I8" s="13"/>
      <c r="J8" s="14">
        <f>(($Q$6*$R$6)+$S$6)</f>
        <v>13232814.999999998</v>
      </c>
      <c r="K8" s="14">
        <f>+J8*0.08</f>
        <v>1058625.2</v>
      </c>
      <c r="L8" s="14">
        <f>J8+K8</f>
        <v>14291440.199999997</v>
      </c>
      <c r="M8" s="14">
        <v>3116850</v>
      </c>
      <c r="N8" s="14">
        <f>(L8+M8)*0.1</f>
        <v>1740829.0199999996</v>
      </c>
      <c r="O8" s="14">
        <f>N8*0.19</f>
        <v>330757.5137999999</v>
      </c>
      <c r="P8" s="14">
        <f>O8+L8+M8</f>
        <v>17739047.713799998</v>
      </c>
      <c r="Q8"/>
      <c r="R8"/>
      <c r="S8"/>
    </row>
    <row r="9" spans="1:19" ht="64" x14ac:dyDescent="0.2">
      <c r="A9" s="11">
        <v>2</v>
      </c>
      <c r="B9" s="12" t="s">
        <v>30</v>
      </c>
      <c r="C9" s="12" t="s">
        <v>2</v>
      </c>
      <c r="D9" s="11">
        <v>1</v>
      </c>
      <c r="E9" s="21">
        <f>+L9+M9</f>
        <v>13150000</v>
      </c>
      <c r="F9" s="21">
        <f t="shared" ref="F9:F12" si="0">O9</f>
        <v>249850</v>
      </c>
      <c r="G9" s="21">
        <f>E9+F9</f>
        <v>13399850</v>
      </c>
      <c r="H9" s="21">
        <f>+G9*D9</f>
        <v>13399850</v>
      </c>
      <c r="I9" s="13"/>
      <c r="J9" s="14">
        <v>9850000</v>
      </c>
      <c r="K9" s="14"/>
      <c r="L9" s="14">
        <f>J9</f>
        <v>9850000</v>
      </c>
      <c r="M9" s="14">
        <f>3000000*1.1</f>
        <v>3300000.0000000005</v>
      </c>
      <c r="N9" s="14">
        <f>(L9+M9)*0.1</f>
        <v>1315000</v>
      </c>
      <c r="O9" s="14">
        <f>N9*0.19</f>
        <v>249850</v>
      </c>
      <c r="P9" s="14">
        <f>O9+L9+M9</f>
        <v>13399850</v>
      </c>
      <c r="Q9"/>
      <c r="R9"/>
      <c r="S9"/>
    </row>
    <row r="10" spans="1:19" ht="48" x14ac:dyDescent="0.2">
      <c r="A10" s="11">
        <v>3</v>
      </c>
      <c r="B10" s="12" t="s">
        <v>13</v>
      </c>
      <c r="C10" s="12" t="s">
        <v>2</v>
      </c>
      <c r="D10" s="11">
        <v>2</v>
      </c>
      <c r="E10" s="21">
        <f>+L10</f>
        <v>18806380.199999999</v>
      </c>
      <c r="F10" s="21">
        <f t="shared" si="0"/>
        <v>357321.22380000004</v>
      </c>
      <c r="G10" s="21">
        <f t="shared" ref="G10" si="1">E10+F10</f>
        <v>19163701.423799999</v>
      </c>
      <c r="H10" s="21">
        <f>+G10*D10</f>
        <v>38327402.847599998</v>
      </c>
      <c r="I10" s="13"/>
      <c r="J10" s="14">
        <f>(((Q6+R10)*R6)+S6)</f>
        <v>17413315</v>
      </c>
      <c r="K10" s="14">
        <f>J10*0.08</f>
        <v>1393065.2</v>
      </c>
      <c r="L10" s="14">
        <f>J10+K10</f>
        <v>18806380.199999999</v>
      </c>
      <c r="M10" s="14"/>
      <c r="N10" s="14">
        <f>L10*0.1</f>
        <v>1880638.02</v>
      </c>
      <c r="O10" s="14">
        <f>+N10*0.19</f>
        <v>357321.22380000004</v>
      </c>
      <c r="P10" s="14">
        <f>O10+L10</f>
        <v>19163701.423799999</v>
      </c>
      <c r="Q10"/>
      <c r="R10">
        <v>450000</v>
      </c>
      <c r="S10"/>
    </row>
    <row r="11" spans="1:19" ht="48" x14ac:dyDescent="0.2">
      <c r="A11" s="11">
        <v>4</v>
      </c>
      <c r="B11" s="12" t="s">
        <v>28</v>
      </c>
      <c r="C11" s="12" t="s">
        <v>2</v>
      </c>
      <c r="D11" s="11">
        <v>6</v>
      </c>
      <c r="E11" s="21">
        <f>+L11</f>
        <v>6399135.2639519982</v>
      </c>
      <c r="F11" s="21">
        <f t="shared" si="0"/>
        <v>121583.57001508797</v>
      </c>
      <c r="G11" s="21">
        <f>E11+F11</f>
        <v>6520718.8339670859</v>
      </c>
      <c r="H11" s="21">
        <f>+G11*D11</f>
        <v>39124313.003802516</v>
      </c>
      <c r="I11" s="13"/>
      <c r="J11" s="14">
        <f>((Q6*R6)+S6)*0.5597/15*12</f>
        <v>5925125.2443999983</v>
      </c>
      <c r="K11" s="14">
        <f>J11*0.08</f>
        <v>474010.01955199987</v>
      </c>
      <c r="L11" s="14">
        <f>J11+K11</f>
        <v>6399135.2639519982</v>
      </c>
      <c r="M11" s="14"/>
      <c r="N11" s="14">
        <f>L11*0.1</f>
        <v>639913.52639519982</v>
      </c>
      <c r="O11" s="14">
        <f>+N11*0.19</f>
        <v>121583.57001508797</v>
      </c>
      <c r="P11" s="14">
        <f>O11+L11</f>
        <v>6520718.8339670859</v>
      </c>
      <c r="Q11"/>
      <c r="R11"/>
      <c r="S11"/>
    </row>
    <row r="12" spans="1:19" ht="48" x14ac:dyDescent="0.2">
      <c r="A12" s="11">
        <v>5</v>
      </c>
      <c r="B12" s="12" t="s">
        <v>29</v>
      </c>
      <c r="C12" s="12" t="s">
        <v>2</v>
      </c>
      <c r="D12" s="11">
        <v>6</v>
      </c>
      <c r="E12" s="21">
        <f>+L12+M12</f>
        <v>14576440.199999997</v>
      </c>
      <c r="F12" s="21">
        <f t="shared" si="0"/>
        <v>276952.36379999993</v>
      </c>
      <c r="G12" s="21">
        <f>E12+F12</f>
        <v>14853392.563799998</v>
      </c>
      <c r="H12" s="21">
        <f>+G12*D12</f>
        <v>89120355.382799983</v>
      </c>
      <c r="I12" s="13"/>
      <c r="J12" s="14">
        <f>(($Q$6*$R$6)+$S$6)</f>
        <v>13232814.999999998</v>
      </c>
      <c r="K12" s="14">
        <f>+J12*0.08</f>
        <v>1058625.2</v>
      </c>
      <c r="L12" s="14">
        <f>J12+K12</f>
        <v>14291440.199999997</v>
      </c>
      <c r="M12" s="14">
        <v>285000</v>
      </c>
      <c r="N12" s="14">
        <f>(L12+M12)*0.1</f>
        <v>1457644.0199999998</v>
      </c>
      <c r="O12" s="14">
        <f>N12*0.19</f>
        <v>276952.36379999993</v>
      </c>
      <c r="P12" s="14">
        <f>O12+L12+M12</f>
        <v>14853392.563799998</v>
      </c>
      <c r="Q12"/>
      <c r="R12"/>
      <c r="S12"/>
    </row>
    <row r="13" spans="1:19" x14ac:dyDescent="0.2">
      <c r="E13" s="40" t="s">
        <v>31</v>
      </c>
      <c r="F13" s="40"/>
      <c r="G13" s="40"/>
      <c r="H13" s="22">
        <f t="shared" ref="H13" si="2">SUM(H8:H12)</f>
        <v>641187161.79300237</v>
      </c>
      <c r="I13" s="15"/>
      <c r="J13"/>
      <c r="K13"/>
      <c r="L13"/>
      <c r="M13"/>
      <c r="N13"/>
      <c r="O13" s="30"/>
      <c r="P13" s="30"/>
      <c r="Q13"/>
      <c r="R13"/>
      <c r="S13"/>
    </row>
    <row r="14" spans="1:19" x14ac:dyDescent="0.2">
      <c r="E14" s="41" t="s">
        <v>32</v>
      </c>
      <c r="F14" s="41"/>
      <c r="G14" s="41"/>
      <c r="H14" s="23">
        <f>+H13*3</f>
        <v>1923561485.3790071</v>
      </c>
      <c r="I14"/>
      <c r="J14"/>
      <c r="K14"/>
      <c r="L14"/>
      <c r="M14"/>
      <c r="N14"/>
      <c r="O14" s="31"/>
      <c r="P14" s="31"/>
      <c r="Q14"/>
      <c r="R14"/>
      <c r="S14"/>
    </row>
    <row r="15" spans="1:19" hidden="1" x14ac:dyDescent="0.2">
      <c r="I15"/>
      <c r="J15"/>
      <c r="K15"/>
      <c r="L15"/>
      <c r="M15"/>
      <c r="N15"/>
      <c r="O15"/>
      <c r="P15"/>
      <c r="Q15"/>
      <c r="R15"/>
      <c r="S15"/>
    </row>
    <row r="16" spans="1:19" hidden="1" x14ac:dyDescent="0.2">
      <c r="I16"/>
      <c r="J16"/>
      <c r="K16"/>
      <c r="L16"/>
      <c r="M16"/>
      <c r="N16"/>
      <c r="O16"/>
      <c r="P16"/>
      <c r="Q16"/>
      <c r="R16"/>
      <c r="S16"/>
    </row>
    <row r="17" spans="1:21" hidden="1" x14ac:dyDescent="0.2">
      <c r="A17" s="32"/>
      <c r="B17" s="32"/>
      <c r="C17" s="32"/>
      <c r="D17" s="32"/>
      <c r="E17" s="32"/>
      <c r="F17" s="32"/>
      <c r="G17" s="32"/>
      <c r="H17" s="32"/>
      <c r="I17" s="32"/>
      <c r="J17" s="32"/>
      <c r="K17" s="32"/>
      <c r="L17" s="32"/>
      <c r="M17"/>
      <c r="N17"/>
      <c r="O17"/>
      <c r="P17"/>
      <c r="Q17"/>
      <c r="R17"/>
      <c r="S17"/>
    </row>
    <row r="18" spans="1:21" hidden="1" x14ac:dyDescent="0.2">
      <c r="A18" s="28"/>
      <c r="B18" s="28"/>
      <c r="C18" s="28"/>
      <c r="D18" s="28"/>
      <c r="E18" s="28"/>
      <c r="F18" s="28"/>
      <c r="G18" s="28"/>
      <c r="H18" s="28"/>
      <c r="I18" s="28"/>
      <c r="J18" s="28"/>
      <c r="K18" s="28"/>
      <c r="L18" s="28"/>
      <c r="M18"/>
      <c r="N18"/>
      <c r="O18"/>
      <c r="P18"/>
      <c r="Q18"/>
      <c r="R18"/>
      <c r="S18"/>
    </row>
    <row r="19" spans="1:21" hidden="1" x14ac:dyDescent="0.2">
      <c r="A19" s="28"/>
      <c r="B19" s="28"/>
      <c r="C19" s="28"/>
      <c r="D19" s="28"/>
      <c r="E19" s="28"/>
      <c r="F19" s="28"/>
      <c r="G19" s="28"/>
      <c r="H19" s="28"/>
      <c r="I19" s="28"/>
      <c r="J19" s="28"/>
      <c r="K19" s="28"/>
      <c r="L19" s="28"/>
      <c r="M19"/>
      <c r="N19"/>
      <c r="O19"/>
      <c r="P19"/>
      <c r="Q19"/>
      <c r="R19"/>
      <c r="S19"/>
    </row>
    <row r="20" spans="1:21" hidden="1" x14ac:dyDescent="0.2">
      <c r="A20" s="28"/>
      <c r="B20" s="28"/>
      <c r="C20" s="28"/>
      <c r="D20" s="28"/>
      <c r="E20" s="28"/>
      <c r="F20" s="28"/>
      <c r="G20" s="28"/>
      <c r="H20" s="28"/>
      <c r="I20" s="28"/>
      <c r="J20" s="28"/>
      <c r="K20" s="28"/>
      <c r="L20" s="28"/>
      <c r="M20"/>
      <c r="N20"/>
      <c r="O20"/>
      <c r="P20"/>
      <c r="Q20"/>
      <c r="R20"/>
      <c r="S20"/>
    </row>
    <row r="21" spans="1:21" hidden="1" x14ac:dyDescent="0.2">
      <c r="I21"/>
      <c r="J21"/>
      <c r="K21"/>
      <c r="L21"/>
      <c r="M21"/>
      <c r="N21"/>
      <c r="O21"/>
      <c r="P21"/>
      <c r="Q21"/>
      <c r="R21"/>
      <c r="S21"/>
    </row>
    <row r="22" spans="1:21" hidden="1" x14ac:dyDescent="0.2">
      <c r="I22"/>
      <c r="J22"/>
      <c r="K22"/>
      <c r="L22"/>
      <c r="M22"/>
      <c r="N22"/>
      <c r="O22"/>
      <c r="P22"/>
      <c r="Q22"/>
      <c r="R22"/>
      <c r="S22"/>
    </row>
    <row r="23" spans="1:21" hidden="1" x14ac:dyDescent="0.2">
      <c r="I23"/>
      <c r="J23"/>
      <c r="K23"/>
      <c r="L23"/>
      <c r="M23"/>
      <c r="N23"/>
      <c r="O23"/>
      <c r="P23" t="s">
        <v>16</v>
      </c>
      <c r="Q23"/>
      <c r="R23"/>
      <c r="S23"/>
    </row>
    <row r="24" spans="1:21" hidden="1" x14ac:dyDescent="0.2">
      <c r="I24"/>
      <c r="J24"/>
      <c r="K24"/>
      <c r="L24"/>
      <c r="M24"/>
      <c r="N24"/>
      <c r="O24"/>
      <c r="P24"/>
      <c r="Q24"/>
      <c r="R24"/>
      <c r="S24"/>
    </row>
    <row r="25" spans="1:21" hidden="1" x14ac:dyDescent="0.2">
      <c r="I25"/>
      <c r="J25"/>
      <c r="K25"/>
      <c r="L25"/>
      <c r="M25"/>
      <c r="N25"/>
      <c r="O25"/>
      <c r="P25"/>
      <c r="Q25"/>
      <c r="R25"/>
      <c r="S25"/>
    </row>
    <row r="26" spans="1:21" hidden="1" x14ac:dyDescent="0.2">
      <c r="I26"/>
      <c r="J26"/>
      <c r="K26"/>
      <c r="L26"/>
      <c r="M26"/>
      <c r="N26"/>
      <c r="O26"/>
      <c r="P26"/>
      <c r="Q26"/>
      <c r="R26"/>
      <c r="S26"/>
    </row>
    <row r="27" spans="1:21" hidden="1" x14ac:dyDescent="0.2">
      <c r="I27"/>
      <c r="J27"/>
      <c r="K27"/>
      <c r="L27"/>
      <c r="M27"/>
      <c r="N27"/>
      <c r="O27"/>
      <c r="P27"/>
      <c r="Q27"/>
      <c r="R27"/>
      <c r="S27"/>
    </row>
    <row r="28" spans="1:21" hidden="1" x14ac:dyDescent="0.2">
      <c r="I28"/>
      <c r="J28"/>
      <c r="K28"/>
      <c r="L28"/>
      <c r="M28"/>
      <c r="N28"/>
      <c r="O28"/>
      <c r="P28"/>
      <c r="Q28"/>
      <c r="R28"/>
      <c r="S28"/>
    </row>
    <row r="29" spans="1:21" hidden="1" x14ac:dyDescent="0.2">
      <c r="I29"/>
      <c r="J29"/>
      <c r="K29"/>
      <c r="L29"/>
      <c r="M29"/>
      <c r="N29"/>
      <c r="O29"/>
      <c r="P29"/>
      <c r="Q29"/>
      <c r="R29"/>
      <c r="S29"/>
    </row>
    <row r="30" spans="1:21" hidden="1" x14ac:dyDescent="0.2">
      <c r="I30"/>
      <c r="J30"/>
      <c r="K30"/>
      <c r="L30"/>
      <c r="M30"/>
      <c r="N30"/>
      <c r="O30"/>
      <c r="P30"/>
      <c r="Q30"/>
      <c r="R30"/>
      <c r="S30"/>
    </row>
    <row r="31" spans="1:21" hidden="1" x14ac:dyDescent="0.2">
      <c r="I31"/>
      <c r="J31"/>
      <c r="K31"/>
      <c r="L31"/>
      <c r="M31"/>
      <c r="N31"/>
      <c r="O31"/>
      <c r="P31"/>
      <c r="Q31"/>
      <c r="R31"/>
      <c r="S31"/>
    </row>
    <row r="32" spans="1:21" hidden="1" x14ac:dyDescent="0.2">
      <c r="H32" s="20" t="s">
        <v>17</v>
      </c>
      <c r="I32"/>
      <c r="J32"/>
      <c r="K32"/>
      <c r="L32"/>
      <c r="M32"/>
      <c r="N32"/>
      <c r="O32"/>
      <c r="P32"/>
      <c r="Q32"/>
      <c r="R32"/>
      <c r="S32"/>
      <c r="T32" s="2">
        <v>30</v>
      </c>
      <c r="U32" s="2" t="s">
        <v>18</v>
      </c>
    </row>
    <row r="33" spans="1:21" ht="34.5" hidden="1" customHeight="1" x14ac:dyDescent="0.2">
      <c r="A33" s="33" t="s">
        <v>19</v>
      </c>
      <c r="B33" s="34"/>
      <c r="C33" s="34"/>
      <c r="D33" s="34"/>
      <c r="E33" s="34"/>
      <c r="F33" s="34"/>
      <c r="G33" s="34"/>
      <c r="H33" s="34"/>
      <c r="I33" s="34"/>
      <c r="J33" s="34"/>
      <c r="K33" s="34"/>
      <c r="L33" s="34"/>
      <c r="M33" s="34"/>
      <c r="N33" s="34"/>
      <c r="O33" s="34"/>
      <c r="P33" s="34"/>
      <c r="Q33">
        <v>1423500</v>
      </c>
      <c r="R33">
        <v>9.2899999999999991</v>
      </c>
      <c r="S33">
        <f>+S6</f>
        <v>8500</v>
      </c>
      <c r="T33" s="2">
        <v>7</v>
      </c>
    </row>
    <row r="34" spans="1:21" ht="48" hidden="1" x14ac:dyDescent="0.2">
      <c r="A34" s="6" t="s">
        <v>0</v>
      </c>
      <c r="B34" s="7" t="s">
        <v>1</v>
      </c>
      <c r="C34" s="7"/>
      <c r="D34" s="7"/>
      <c r="E34" s="7"/>
      <c r="F34" s="7"/>
      <c r="G34" s="7"/>
      <c r="H34" s="7"/>
      <c r="I34" s="16"/>
      <c r="J34" s="17" t="s">
        <v>20</v>
      </c>
      <c r="K34" s="7" t="s">
        <v>5</v>
      </c>
      <c r="L34" s="7" t="s">
        <v>6</v>
      </c>
      <c r="M34" s="17" t="s">
        <v>7</v>
      </c>
      <c r="N34" s="7" t="s">
        <v>8</v>
      </c>
      <c r="O34" s="7" t="s">
        <v>9</v>
      </c>
      <c r="P34" s="17" t="s">
        <v>10</v>
      </c>
      <c r="Q34"/>
      <c r="R34"/>
      <c r="S34"/>
    </row>
    <row r="35" spans="1:21" ht="80" hidden="1" x14ac:dyDescent="0.2">
      <c r="A35" s="11">
        <v>1</v>
      </c>
      <c r="B35" s="12" t="s">
        <v>11</v>
      </c>
      <c r="C35" s="12"/>
      <c r="D35" s="12"/>
      <c r="E35" s="12"/>
      <c r="F35" s="12"/>
      <c r="G35" s="12"/>
      <c r="H35" s="12"/>
      <c r="I35" s="12"/>
      <c r="J35" s="18">
        <f>(($Q$33*$R$33)+$S$33)</f>
        <v>13232814.999999998</v>
      </c>
      <c r="K35" s="18">
        <f>+J35*0.08</f>
        <v>1058625.2</v>
      </c>
      <c r="L35" s="18">
        <f>J35+K35</f>
        <v>14291440.199999997</v>
      </c>
      <c r="M35" s="18">
        <v>3116850</v>
      </c>
      <c r="N35" s="18">
        <f>(L35+M35)*0.1</f>
        <v>1740829.0199999996</v>
      </c>
      <c r="O35" s="18">
        <f>N35*0.19</f>
        <v>330757.5137999999</v>
      </c>
      <c r="P35" s="18">
        <f>O35+L35+M35</f>
        <v>17739047.713799998</v>
      </c>
      <c r="Q35"/>
      <c r="R35"/>
      <c r="S35"/>
    </row>
    <row r="36" spans="1:21" ht="48" hidden="1" x14ac:dyDescent="0.2">
      <c r="A36" s="11">
        <v>3</v>
      </c>
      <c r="B36" s="12" t="s">
        <v>12</v>
      </c>
      <c r="C36" s="12"/>
      <c r="D36" s="12"/>
      <c r="E36" s="12"/>
      <c r="F36" s="12"/>
      <c r="G36" s="12"/>
      <c r="H36" s="12"/>
      <c r="I36" s="12"/>
      <c r="J36" s="18">
        <f>8850000*1.1</f>
        <v>9735000</v>
      </c>
      <c r="K36" s="18"/>
      <c r="L36" s="18">
        <f>J36</f>
        <v>9735000</v>
      </c>
      <c r="M36" s="18">
        <f>3000000*1.1</f>
        <v>3300000.0000000005</v>
      </c>
      <c r="N36" s="18">
        <f>(L36+M36)*0.1</f>
        <v>1303500</v>
      </c>
      <c r="O36" s="18">
        <f>N36*0.19</f>
        <v>247665</v>
      </c>
      <c r="P36" s="18">
        <f>O36+L36+M36</f>
        <v>13282665</v>
      </c>
      <c r="Q36"/>
      <c r="R36"/>
      <c r="S36"/>
    </row>
    <row r="37" spans="1:21" ht="48" hidden="1" x14ac:dyDescent="0.2">
      <c r="A37" s="11">
        <v>4</v>
      </c>
      <c r="B37" s="12" t="s">
        <v>13</v>
      </c>
      <c r="C37" s="12"/>
      <c r="D37" s="12"/>
      <c r="E37" s="12"/>
      <c r="F37" s="12"/>
      <c r="G37" s="12"/>
      <c r="H37" s="12"/>
      <c r="I37" s="12"/>
      <c r="J37" s="18">
        <f>(((Q33+R37)*R33)+S33)</f>
        <v>17413315</v>
      </c>
      <c r="K37" s="18">
        <f>J37*0.08</f>
        <v>1393065.2</v>
      </c>
      <c r="L37" s="18">
        <f>J37+K37</f>
        <v>18806380.199999999</v>
      </c>
      <c r="M37" s="18"/>
      <c r="N37" s="18">
        <f>L37*0.1</f>
        <v>1880638.02</v>
      </c>
      <c r="O37" s="18">
        <f>+N37*0.19</f>
        <v>357321.22380000004</v>
      </c>
      <c r="P37" s="18">
        <f>O37+L37</f>
        <v>19163701.423799999</v>
      </c>
      <c r="Q37"/>
      <c r="R37">
        <f>+R10</f>
        <v>450000</v>
      </c>
      <c r="S37"/>
    </row>
    <row r="38" spans="1:21" ht="48" hidden="1" x14ac:dyDescent="0.2">
      <c r="A38" s="11">
        <v>6</v>
      </c>
      <c r="B38" s="12" t="s">
        <v>14</v>
      </c>
      <c r="C38" s="12"/>
      <c r="D38" s="12"/>
      <c r="E38" s="12"/>
      <c r="F38" s="12"/>
      <c r="G38" s="12"/>
      <c r="H38" s="12"/>
      <c r="I38" s="12"/>
      <c r="J38" s="18">
        <f>((Q33*R33)+S33)*0.5597/15*12</f>
        <v>5925125.2443999983</v>
      </c>
      <c r="K38" s="18">
        <f>J38*0.08</f>
        <v>474010.01955199987</v>
      </c>
      <c r="L38" s="18">
        <f>J38+K38</f>
        <v>6399135.2639519982</v>
      </c>
      <c r="M38" s="18"/>
      <c r="N38" s="18">
        <f>L38*0.1</f>
        <v>639913.52639519982</v>
      </c>
      <c r="O38" s="18">
        <f>+N38*0.19</f>
        <v>121583.57001508797</v>
      </c>
      <c r="P38" s="18">
        <f>O38+L38</f>
        <v>6520718.8339670859</v>
      </c>
      <c r="Q38"/>
      <c r="R38"/>
      <c r="S38"/>
    </row>
    <row r="39" spans="1:21" ht="32" hidden="1" x14ac:dyDescent="0.2">
      <c r="A39" s="11">
        <v>7</v>
      </c>
      <c r="B39" s="12" t="s">
        <v>15</v>
      </c>
      <c r="C39" s="12"/>
      <c r="D39" s="12"/>
      <c r="E39" s="12"/>
      <c r="F39" s="12"/>
      <c r="G39" s="12"/>
      <c r="H39" s="12"/>
      <c r="I39" s="12"/>
      <c r="J39" s="18">
        <f>(($Q$33*$R$33)+$S$33)</f>
        <v>13232814.999999998</v>
      </c>
      <c r="K39" s="18">
        <f>+J39*0.08</f>
        <v>1058625.2</v>
      </c>
      <c r="L39" s="18">
        <f>J39+K39</f>
        <v>14291440.199999997</v>
      </c>
      <c r="M39" s="18">
        <f>250000*1.1</f>
        <v>275000</v>
      </c>
      <c r="N39" s="18">
        <f>(L39+M39)*0.1</f>
        <v>1456644.0199999998</v>
      </c>
      <c r="O39" s="18">
        <f>N39*0.19</f>
        <v>276762.36379999993</v>
      </c>
      <c r="P39" s="18">
        <f>O39+L39+M39</f>
        <v>14843202.563799998</v>
      </c>
      <c r="Q39"/>
      <c r="R39"/>
      <c r="S39"/>
    </row>
    <row r="40" spans="1:21" hidden="1" x14ac:dyDescent="0.2">
      <c r="I40"/>
      <c r="J40"/>
      <c r="K40"/>
      <c r="L40"/>
      <c r="M40"/>
      <c r="N40"/>
      <c r="O40" s="35" t="s">
        <v>21</v>
      </c>
      <c r="P40" s="35"/>
      <c r="Q40"/>
      <c r="R40"/>
      <c r="S40"/>
    </row>
    <row r="41" spans="1:21" hidden="1" x14ac:dyDescent="0.2">
      <c r="H41" s="20" t="s">
        <v>22</v>
      </c>
      <c r="I41"/>
      <c r="J41"/>
      <c r="K41"/>
      <c r="L41"/>
      <c r="M41"/>
      <c r="N41"/>
      <c r="O41" s="36"/>
      <c r="P41" s="36"/>
      <c r="Q41"/>
      <c r="R41"/>
      <c r="S41"/>
      <c r="T41" s="2">
        <v>7</v>
      </c>
      <c r="U41" s="2" t="s">
        <v>23</v>
      </c>
    </row>
    <row r="42" spans="1:21" hidden="1" x14ac:dyDescent="0.2">
      <c r="A42" s="37" t="s">
        <v>24</v>
      </c>
      <c r="B42" s="37"/>
      <c r="C42" s="37"/>
      <c r="D42" s="37"/>
      <c r="E42" s="37"/>
      <c r="F42" s="37"/>
      <c r="G42" s="37"/>
      <c r="H42" s="37"/>
      <c r="I42"/>
      <c r="J42"/>
      <c r="K42"/>
      <c r="L42"/>
      <c r="M42"/>
      <c r="N42"/>
      <c r="O42"/>
      <c r="P42"/>
      <c r="Q42"/>
      <c r="R42"/>
      <c r="S42"/>
    </row>
    <row r="43" spans="1:21" hidden="1" x14ac:dyDescent="0.2">
      <c r="I43"/>
      <c r="J43"/>
      <c r="K43"/>
      <c r="L43" s="19">
        <v>2251126231</v>
      </c>
      <c r="M43"/>
      <c r="N43"/>
      <c r="O43"/>
      <c r="P43"/>
      <c r="Q43"/>
      <c r="R43"/>
      <c r="S43"/>
    </row>
    <row r="44" spans="1:21" ht="15" hidden="1" customHeight="1" x14ac:dyDescent="0.2">
      <c r="A44" s="28" t="s">
        <v>25</v>
      </c>
      <c r="B44" s="28"/>
      <c r="C44" s="28"/>
      <c r="D44" s="28"/>
      <c r="E44" s="28"/>
      <c r="F44" s="28"/>
      <c r="G44" s="28"/>
      <c r="H44" s="28"/>
    </row>
    <row r="45" spans="1:21" hidden="1" x14ac:dyDescent="0.2">
      <c r="A45" s="28"/>
      <c r="B45" s="28"/>
      <c r="C45" s="28"/>
      <c r="D45" s="28"/>
      <c r="E45" s="28"/>
      <c r="F45" s="28"/>
      <c r="G45" s="28"/>
      <c r="H45" s="28"/>
    </row>
    <row r="46" spans="1:21" hidden="1" x14ac:dyDescent="0.2">
      <c r="A46" s="28"/>
      <c r="B46" s="28"/>
      <c r="C46" s="28"/>
      <c r="D46" s="28"/>
      <c r="E46" s="28"/>
      <c r="F46" s="28"/>
      <c r="G46" s="28"/>
      <c r="H46" s="28"/>
    </row>
    <row r="47" spans="1:21" hidden="1" x14ac:dyDescent="0.2">
      <c r="A47" s="28"/>
      <c r="B47" s="28"/>
      <c r="C47" s="28"/>
      <c r="D47" s="28"/>
      <c r="E47" s="28"/>
      <c r="F47" s="28"/>
      <c r="G47" s="28"/>
      <c r="H47" s="28"/>
    </row>
    <row r="48" spans="1:21" hidden="1" x14ac:dyDescent="0.2">
      <c r="A48" s="28"/>
      <c r="B48" s="28"/>
      <c r="C48" s="28"/>
      <c r="D48" s="28"/>
      <c r="E48" s="28"/>
      <c r="F48" s="28"/>
      <c r="G48" s="28"/>
      <c r="H48" s="28"/>
    </row>
    <row r="49" spans="1:8" hidden="1" x14ac:dyDescent="0.2">
      <c r="A49" s="28"/>
      <c r="B49" s="28"/>
      <c r="C49" s="28"/>
      <c r="D49" s="28"/>
      <c r="E49" s="28"/>
      <c r="F49" s="28"/>
      <c r="G49" s="28"/>
      <c r="H49" s="28"/>
    </row>
    <row r="50" spans="1:8" hidden="1" x14ac:dyDescent="0.2">
      <c r="A50" s="28"/>
      <c r="B50" s="28"/>
      <c r="C50" s="28"/>
      <c r="D50" s="28"/>
      <c r="E50" s="28"/>
      <c r="F50" s="28"/>
      <c r="G50" s="28"/>
      <c r="H50" s="28"/>
    </row>
    <row r="51" spans="1:8" hidden="1" x14ac:dyDescent="0.2">
      <c r="A51" s="28"/>
      <c r="B51" s="28"/>
      <c r="C51" s="28"/>
      <c r="D51" s="28"/>
      <c r="E51" s="28"/>
      <c r="F51" s="28"/>
      <c r="G51" s="28"/>
      <c r="H51" s="28"/>
    </row>
    <row r="52" spans="1:8" hidden="1" x14ac:dyDescent="0.2">
      <c r="A52" s="28"/>
      <c r="B52" s="28"/>
      <c r="C52" s="28"/>
      <c r="D52" s="28"/>
      <c r="E52" s="28"/>
      <c r="F52" s="28"/>
      <c r="G52" s="28"/>
      <c r="H52" s="28"/>
    </row>
    <row r="53" spans="1:8" hidden="1" x14ac:dyDescent="0.2">
      <c r="A53" s="28"/>
      <c r="B53" s="28"/>
      <c r="C53" s="28"/>
      <c r="D53" s="28"/>
      <c r="E53" s="28"/>
      <c r="F53" s="28"/>
      <c r="G53" s="28"/>
      <c r="H53" s="28"/>
    </row>
    <row r="54" spans="1:8" hidden="1" x14ac:dyDescent="0.2">
      <c r="A54" s="28"/>
      <c r="B54" s="28"/>
      <c r="C54" s="28"/>
      <c r="D54" s="28"/>
      <c r="E54" s="28"/>
      <c r="F54" s="28"/>
      <c r="G54" s="28"/>
      <c r="H54" s="28"/>
    </row>
    <row r="55" spans="1:8" hidden="1" x14ac:dyDescent="0.2">
      <c r="A55" s="28"/>
      <c r="B55" s="28"/>
      <c r="C55" s="28"/>
      <c r="D55" s="28"/>
      <c r="E55" s="28"/>
      <c r="F55" s="28"/>
      <c r="G55" s="28"/>
      <c r="H55" s="28"/>
    </row>
    <row r="56" spans="1:8" hidden="1" x14ac:dyDescent="0.2">
      <c r="A56" s="28"/>
      <c r="B56" s="28"/>
      <c r="C56" s="28"/>
      <c r="D56" s="28"/>
      <c r="E56" s="28"/>
      <c r="F56" s="28"/>
      <c r="G56" s="28"/>
      <c r="H56" s="28"/>
    </row>
    <row r="57" spans="1:8" hidden="1" x14ac:dyDescent="0.2">
      <c r="A57" s="28"/>
      <c r="B57" s="28"/>
      <c r="C57" s="28"/>
      <c r="D57" s="28"/>
      <c r="E57" s="28"/>
      <c r="F57" s="28"/>
      <c r="G57" s="28"/>
      <c r="H57" s="28"/>
    </row>
    <row r="58" spans="1:8" hidden="1" x14ac:dyDescent="0.2">
      <c r="A58" s="28"/>
      <c r="B58" s="28"/>
      <c r="C58" s="28"/>
      <c r="D58" s="28"/>
      <c r="E58" s="28"/>
      <c r="F58" s="28"/>
      <c r="G58" s="28"/>
      <c r="H58" s="28"/>
    </row>
    <row r="59" spans="1:8" hidden="1" x14ac:dyDescent="0.2">
      <c r="A59" s="28"/>
      <c r="B59" s="28"/>
      <c r="C59" s="28"/>
      <c r="D59" s="28"/>
      <c r="E59" s="28"/>
      <c r="F59" s="28"/>
      <c r="G59" s="28"/>
      <c r="H59" s="28"/>
    </row>
    <row r="60" spans="1:8" hidden="1" x14ac:dyDescent="0.2"/>
    <row r="61" spans="1:8" hidden="1" x14ac:dyDescent="0.2"/>
  </sheetData>
  <mergeCells count="12">
    <mergeCell ref="A44:H59"/>
    <mergeCell ref="A2:H4"/>
    <mergeCell ref="A6:H6"/>
    <mergeCell ref="E13:G13"/>
    <mergeCell ref="O13:P13"/>
    <mergeCell ref="E14:G14"/>
    <mergeCell ref="O14:P14"/>
    <mergeCell ref="A17:L20"/>
    <mergeCell ref="A33:P33"/>
    <mergeCell ref="O40:P40"/>
    <mergeCell ref="O41:P41"/>
    <mergeCell ref="A42:H4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5186C-CD38-4CA1-A06D-65A07C981191}">
  <dimension ref="A2:U61"/>
  <sheetViews>
    <sheetView topLeftCell="G6" workbookViewId="0">
      <selection activeCell="S6" sqref="S6"/>
    </sheetView>
  </sheetViews>
  <sheetFormatPr baseColWidth="10" defaultRowHeight="15" x14ac:dyDescent="0.2"/>
  <cols>
    <col min="1" max="1" width="5.5" bestFit="1" customWidth="1"/>
    <col min="2" max="2" width="42.33203125" customWidth="1"/>
    <col min="3" max="3" width="5.1640625" bestFit="1" customWidth="1"/>
    <col min="4" max="4" width="10.33203125" bestFit="1" customWidth="1"/>
    <col min="5" max="8" width="16.6640625" customWidth="1"/>
    <col min="9" max="9" width="16.6640625" style="1" customWidth="1"/>
    <col min="10" max="10" width="15.83203125" style="1" customWidth="1"/>
    <col min="11" max="11" width="12.83203125" style="1" customWidth="1"/>
    <col min="12" max="12" width="14.6640625" style="1" customWidth="1"/>
    <col min="13" max="13" width="13.5" style="1" customWidth="1"/>
    <col min="14" max="14" width="13.6640625" style="1" customWidth="1"/>
    <col min="15" max="15" width="13.33203125" style="1" customWidth="1"/>
    <col min="16" max="16" width="16.33203125" style="1" customWidth="1"/>
    <col min="17" max="17" width="14.5" style="2" customWidth="1"/>
    <col min="18" max="18" width="11.5" style="2" customWidth="1"/>
    <col min="19" max="19" width="12" style="2" customWidth="1"/>
    <col min="20" max="21" width="11.5" style="2"/>
  </cols>
  <sheetData>
    <row r="2" spans="1:19" x14ac:dyDescent="0.2">
      <c r="A2" s="38" t="s">
        <v>26</v>
      </c>
      <c r="B2" s="30"/>
      <c r="C2" s="30"/>
      <c r="D2" s="30"/>
      <c r="E2" s="30"/>
      <c r="F2" s="30"/>
      <c r="G2" s="30"/>
      <c r="H2" s="30"/>
      <c r="I2"/>
      <c r="J2"/>
      <c r="K2"/>
      <c r="L2"/>
      <c r="M2"/>
      <c r="N2"/>
      <c r="O2"/>
      <c r="P2"/>
      <c r="Q2"/>
      <c r="R2"/>
      <c r="S2"/>
    </row>
    <row r="3" spans="1:19" x14ac:dyDescent="0.2">
      <c r="A3" s="30"/>
      <c r="B3" s="30"/>
      <c r="C3" s="30"/>
      <c r="D3" s="30"/>
      <c r="E3" s="30"/>
      <c r="F3" s="30"/>
      <c r="G3" s="30"/>
      <c r="H3" s="30"/>
      <c r="I3"/>
      <c r="J3"/>
      <c r="K3"/>
      <c r="L3"/>
      <c r="M3"/>
      <c r="N3"/>
      <c r="O3"/>
      <c r="P3"/>
      <c r="Q3"/>
      <c r="R3"/>
      <c r="S3"/>
    </row>
    <row r="4" spans="1:19" ht="9" customHeight="1" x14ac:dyDescent="0.2">
      <c r="A4" s="30"/>
      <c r="B4" s="30"/>
      <c r="C4" s="30"/>
      <c r="D4" s="30"/>
      <c r="E4" s="30"/>
      <c r="F4" s="30"/>
      <c r="G4" s="30"/>
      <c r="H4" s="30"/>
      <c r="I4"/>
      <c r="J4"/>
      <c r="K4"/>
      <c r="L4"/>
      <c r="M4"/>
      <c r="N4"/>
      <c r="O4"/>
      <c r="P4"/>
      <c r="Q4"/>
      <c r="R4"/>
      <c r="S4"/>
    </row>
    <row r="5" spans="1:19" x14ac:dyDescent="0.2">
      <c r="I5"/>
      <c r="J5"/>
      <c r="K5"/>
      <c r="L5"/>
      <c r="M5"/>
      <c r="N5"/>
      <c r="O5"/>
      <c r="P5"/>
      <c r="Q5"/>
      <c r="R5"/>
      <c r="S5"/>
    </row>
    <row r="6" spans="1:19" ht="36.75" customHeight="1" x14ac:dyDescent="0.2">
      <c r="A6" s="33" t="s">
        <v>35</v>
      </c>
      <c r="B6" s="33"/>
      <c r="C6" s="33"/>
      <c r="D6" s="33"/>
      <c r="E6" s="33"/>
      <c r="F6" s="33"/>
      <c r="G6" s="33"/>
      <c r="H6" s="33"/>
      <c r="I6" s="3"/>
      <c r="J6" s="3"/>
      <c r="K6" s="3"/>
      <c r="L6" s="3"/>
      <c r="M6" s="3"/>
      <c r="N6" s="3"/>
      <c r="O6" s="3"/>
      <c r="P6" s="3"/>
      <c r="Q6" s="4">
        <v>1423500</v>
      </c>
      <c r="R6" s="5">
        <v>9.2899999999999991</v>
      </c>
      <c r="S6" s="4">
        <v>9500</v>
      </c>
    </row>
    <row r="7" spans="1:19" ht="64" x14ac:dyDescent="0.2">
      <c r="A7" s="7" t="s">
        <v>0</v>
      </c>
      <c r="B7" s="7" t="s">
        <v>1</v>
      </c>
      <c r="C7" s="7" t="s">
        <v>2</v>
      </c>
      <c r="D7" s="7" t="s">
        <v>3</v>
      </c>
      <c r="E7" s="17" t="s">
        <v>4</v>
      </c>
      <c r="F7" s="17" t="s">
        <v>36</v>
      </c>
      <c r="G7" s="17" t="s">
        <v>33</v>
      </c>
      <c r="H7" s="17" t="s">
        <v>34</v>
      </c>
      <c r="I7" s="8"/>
      <c r="J7" s="9" t="s">
        <v>4</v>
      </c>
      <c r="K7" s="10" t="s">
        <v>5</v>
      </c>
      <c r="L7" s="10" t="s">
        <v>6</v>
      </c>
      <c r="M7" s="9" t="s">
        <v>7</v>
      </c>
      <c r="N7" s="10" t="s">
        <v>8</v>
      </c>
      <c r="O7" s="10" t="s">
        <v>9</v>
      </c>
      <c r="P7" s="9" t="s">
        <v>10</v>
      </c>
      <c r="Q7"/>
      <c r="R7"/>
      <c r="S7"/>
    </row>
    <row r="8" spans="1:19" ht="64" x14ac:dyDescent="0.2">
      <c r="A8" s="11">
        <v>1</v>
      </c>
      <c r="B8" s="12" t="s">
        <v>27</v>
      </c>
      <c r="C8" s="12" t="s">
        <v>2</v>
      </c>
      <c r="D8" s="11">
        <v>26</v>
      </c>
      <c r="E8" s="21">
        <f>+L8+M8</f>
        <v>17409370.199999996</v>
      </c>
      <c r="F8" s="21">
        <f>O8</f>
        <v>330778.03379999992</v>
      </c>
      <c r="G8" s="21">
        <f>E8+F8</f>
        <v>17740148.233799994</v>
      </c>
      <c r="H8" s="21">
        <f>+G8*D8</f>
        <v>461243854.07879984</v>
      </c>
      <c r="I8" s="13"/>
      <c r="J8" s="14">
        <f>(($Q$6*$R$6)+$S$6)</f>
        <v>13233814.999999998</v>
      </c>
      <c r="K8" s="14">
        <f>+J8*0.08</f>
        <v>1058705.2</v>
      </c>
      <c r="L8" s="14">
        <f>J8+K8</f>
        <v>14292520.199999997</v>
      </c>
      <c r="M8" s="14">
        <v>3116850</v>
      </c>
      <c r="N8" s="14">
        <f>(L8+M8)*0.1</f>
        <v>1740937.0199999996</v>
      </c>
      <c r="O8" s="14">
        <f>N8*0.19</f>
        <v>330778.03379999992</v>
      </c>
      <c r="P8" s="14">
        <f>O8+L8+M8</f>
        <v>17740148.233799998</v>
      </c>
      <c r="Q8"/>
      <c r="R8"/>
      <c r="S8"/>
    </row>
    <row r="9" spans="1:19" ht="64" x14ac:dyDescent="0.2">
      <c r="A9" s="11">
        <v>2</v>
      </c>
      <c r="B9" s="12" t="s">
        <v>30</v>
      </c>
      <c r="C9" s="12" t="s">
        <v>2</v>
      </c>
      <c r="D9" s="11">
        <v>1</v>
      </c>
      <c r="E9" s="21">
        <f>+L9+M9</f>
        <v>13154121</v>
      </c>
      <c r="F9" s="21">
        <f t="shared" ref="F9:F12" si="0">O9</f>
        <v>249928.29900000003</v>
      </c>
      <c r="G9" s="21">
        <f>E9+F9</f>
        <v>13404049.299000001</v>
      </c>
      <c r="H9" s="21">
        <f>+G9*D9</f>
        <v>13404049.299000001</v>
      </c>
      <c r="I9" s="13"/>
      <c r="J9" s="14">
        <v>9854121</v>
      </c>
      <c r="K9" s="14"/>
      <c r="L9" s="14">
        <f>J9</f>
        <v>9854121</v>
      </c>
      <c r="M9" s="14">
        <f>3000000*1.1</f>
        <v>3300000.0000000005</v>
      </c>
      <c r="N9" s="14">
        <f>(L9+M9)*0.1</f>
        <v>1315412.1000000001</v>
      </c>
      <c r="O9" s="14">
        <f>N9*0.19</f>
        <v>249928.29900000003</v>
      </c>
      <c r="P9" s="14">
        <f>O9+L9+M9</f>
        <v>13404049.299000001</v>
      </c>
      <c r="Q9"/>
      <c r="R9"/>
      <c r="S9"/>
    </row>
    <row r="10" spans="1:19" ht="48" x14ac:dyDescent="0.2">
      <c r="A10" s="11">
        <v>3</v>
      </c>
      <c r="B10" s="12" t="s">
        <v>13</v>
      </c>
      <c r="C10" s="12" t="s">
        <v>2</v>
      </c>
      <c r="D10" s="11">
        <v>2</v>
      </c>
      <c r="E10" s="21">
        <f>+L10</f>
        <v>18305800.199999999</v>
      </c>
      <c r="F10" s="21">
        <f t="shared" si="0"/>
        <v>347810.20380000002</v>
      </c>
      <c r="G10" s="21">
        <f t="shared" ref="G10" si="1">E10+F10</f>
        <v>18653610.4038</v>
      </c>
      <c r="H10" s="21">
        <f>+G10*D10</f>
        <v>37307220.807599999</v>
      </c>
      <c r="I10" s="13"/>
      <c r="J10" s="14">
        <f>(((Q6+R10)*R6)+S6)</f>
        <v>16949815</v>
      </c>
      <c r="K10" s="14">
        <f>J10*0.08</f>
        <v>1355985.2</v>
      </c>
      <c r="L10" s="14">
        <f>J10+K10</f>
        <v>18305800.199999999</v>
      </c>
      <c r="M10" s="14"/>
      <c r="N10" s="14">
        <f>L10*0.1</f>
        <v>1830580.02</v>
      </c>
      <c r="O10" s="14">
        <f>+N10*0.19</f>
        <v>347810.20380000002</v>
      </c>
      <c r="P10" s="14">
        <f>O10+L10</f>
        <v>18653610.4038</v>
      </c>
      <c r="Q10"/>
      <c r="R10">
        <v>400000</v>
      </c>
      <c r="S10"/>
    </row>
    <row r="11" spans="1:19" ht="48" x14ac:dyDescent="0.2">
      <c r="A11" s="11">
        <v>4</v>
      </c>
      <c r="B11" s="12" t="s">
        <v>28</v>
      </c>
      <c r="C11" s="12" t="s">
        <v>2</v>
      </c>
      <c r="D11" s="11">
        <v>6</v>
      </c>
      <c r="E11" s="21">
        <f>+L11</f>
        <v>6399618.8447519988</v>
      </c>
      <c r="F11" s="21">
        <f t="shared" si="0"/>
        <v>121592.758050288</v>
      </c>
      <c r="G11" s="21">
        <f>E11+F11</f>
        <v>6521211.6028022869</v>
      </c>
      <c r="H11" s="21">
        <f>+G11*D11</f>
        <v>39127269.616813719</v>
      </c>
      <c r="I11" s="13"/>
      <c r="J11" s="14">
        <f>((Q6*R6)+S6)*0.5597/15*12</f>
        <v>5925573.004399999</v>
      </c>
      <c r="K11" s="14">
        <f>J11*0.08</f>
        <v>474045.84035199991</v>
      </c>
      <c r="L11" s="14">
        <f>J11+K11</f>
        <v>6399618.8447519988</v>
      </c>
      <c r="M11" s="14"/>
      <c r="N11" s="14">
        <f>L11*0.1</f>
        <v>639961.88447519997</v>
      </c>
      <c r="O11" s="14">
        <f>+N11*0.19</f>
        <v>121592.758050288</v>
      </c>
      <c r="P11" s="14">
        <f>O11+L11</f>
        <v>6521211.6028022869</v>
      </c>
      <c r="Q11"/>
      <c r="R11"/>
      <c r="S11"/>
    </row>
    <row r="12" spans="1:19" ht="48" x14ac:dyDescent="0.2">
      <c r="A12" s="11">
        <v>5</v>
      </c>
      <c r="B12" s="12" t="s">
        <v>29</v>
      </c>
      <c r="C12" s="12" t="s">
        <v>2</v>
      </c>
      <c r="D12" s="11">
        <v>6</v>
      </c>
      <c r="E12" s="21">
        <f>+L12+M12</f>
        <v>14592520.199999997</v>
      </c>
      <c r="F12" s="21">
        <f t="shared" si="0"/>
        <v>277257.88379999995</v>
      </c>
      <c r="G12" s="21">
        <f>E12+F12</f>
        <v>14869778.083799997</v>
      </c>
      <c r="H12" s="21">
        <f>+G12*D12</f>
        <v>89218668.502799988</v>
      </c>
      <c r="I12" s="13"/>
      <c r="J12" s="14">
        <f>(($Q$6*$R$6)+$S$6)</f>
        <v>13233814.999999998</v>
      </c>
      <c r="K12" s="14">
        <f>+J12*0.08</f>
        <v>1058705.2</v>
      </c>
      <c r="L12" s="14">
        <f>J12+K12</f>
        <v>14292520.199999997</v>
      </c>
      <c r="M12" s="14">
        <v>300000</v>
      </c>
      <c r="N12" s="14">
        <f>(L12+M12)*0.1</f>
        <v>1459252.0199999998</v>
      </c>
      <c r="O12" s="14">
        <f>N12*0.19</f>
        <v>277257.88379999995</v>
      </c>
      <c r="P12" s="14">
        <f>O12+L12+M12</f>
        <v>14869778.083799997</v>
      </c>
      <c r="Q12"/>
      <c r="R12"/>
      <c r="S12"/>
    </row>
    <row r="13" spans="1:19" x14ac:dyDescent="0.2">
      <c r="E13" s="39" t="s">
        <v>31</v>
      </c>
      <c r="F13" s="39"/>
      <c r="G13" s="39"/>
      <c r="H13" s="22">
        <f t="shared" ref="H13" si="2">SUM(H8:H12)</f>
        <v>640301062.30501366</v>
      </c>
      <c r="I13" s="15"/>
      <c r="J13"/>
      <c r="K13"/>
      <c r="L13"/>
      <c r="M13"/>
      <c r="N13"/>
      <c r="O13" s="30"/>
      <c r="P13" s="30"/>
      <c r="Q13"/>
      <c r="R13"/>
      <c r="S13"/>
    </row>
    <row r="14" spans="1:19" x14ac:dyDescent="0.2">
      <c r="E14" s="35" t="s">
        <v>32</v>
      </c>
      <c r="F14" s="35"/>
      <c r="G14" s="35"/>
      <c r="H14" s="23">
        <f>+H13*3</f>
        <v>1920903186.915041</v>
      </c>
      <c r="I14"/>
      <c r="J14"/>
      <c r="K14"/>
      <c r="L14"/>
      <c r="M14"/>
      <c r="N14"/>
      <c r="O14" s="31"/>
      <c r="P14" s="31"/>
      <c r="Q14"/>
      <c r="R14"/>
      <c r="S14"/>
    </row>
    <row r="15" spans="1:19" hidden="1" x14ac:dyDescent="0.2">
      <c r="I15"/>
      <c r="J15"/>
      <c r="K15"/>
      <c r="L15"/>
      <c r="M15"/>
      <c r="N15"/>
      <c r="O15"/>
      <c r="P15"/>
      <c r="Q15"/>
      <c r="R15"/>
      <c r="S15"/>
    </row>
    <row r="16" spans="1:19" hidden="1" x14ac:dyDescent="0.2">
      <c r="I16"/>
      <c r="J16"/>
      <c r="K16"/>
      <c r="L16"/>
      <c r="M16"/>
      <c r="N16"/>
      <c r="O16"/>
      <c r="P16"/>
      <c r="Q16"/>
      <c r="R16"/>
      <c r="S16"/>
    </row>
    <row r="17" spans="1:21" hidden="1" x14ac:dyDescent="0.2">
      <c r="A17" s="32"/>
      <c r="B17" s="32"/>
      <c r="C17" s="32"/>
      <c r="D17" s="32"/>
      <c r="E17" s="32"/>
      <c r="F17" s="32"/>
      <c r="G17" s="32"/>
      <c r="H17" s="32"/>
      <c r="I17" s="32"/>
      <c r="J17" s="32"/>
      <c r="K17" s="32"/>
      <c r="L17" s="32"/>
      <c r="M17"/>
      <c r="N17"/>
      <c r="O17"/>
      <c r="P17"/>
      <c r="Q17"/>
      <c r="R17"/>
      <c r="S17"/>
    </row>
    <row r="18" spans="1:21" hidden="1" x14ac:dyDescent="0.2">
      <c r="A18" s="28"/>
      <c r="B18" s="28"/>
      <c r="C18" s="28"/>
      <c r="D18" s="28"/>
      <c r="E18" s="28"/>
      <c r="F18" s="28"/>
      <c r="G18" s="28"/>
      <c r="H18" s="28"/>
      <c r="I18" s="28"/>
      <c r="J18" s="28"/>
      <c r="K18" s="28"/>
      <c r="L18" s="28"/>
      <c r="M18"/>
      <c r="N18"/>
      <c r="O18"/>
      <c r="P18"/>
      <c r="Q18"/>
      <c r="R18"/>
      <c r="S18"/>
    </row>
    <row r="19" spans="1:21" hidden="1" x14ac:dyDescent="0.2">
      <c r="A19" s="28"/>
      <c r="B19" s="28"/>
      <c r="C19" s="28"/>
      <c r="D19" s="28"/>
      <c r="E19" s="28"/>
      <c r="F19" s="28"/>
      <c r="G19" s="28"/>
      <c r="H19" s="28"/>
      <c r="I19" s="28"/>
      <c r="J19" s="28"/>
      <c r="K19" s="28"/>
      <c r="L19" s="28"/>
      <c r="M19"/>
      <c r="N19"/>
      <c r="O19"/>
      <c r="P19"/>
      <c r="Q19"/>
      <c r="R19"/>
      <c r="S19"/>
    </row>
    <row r="20" spans="1:21" hidden="1" x14ac:dyDescent="0.2">
      <c r="A20" s="28"/>
      <c r="B20" s="28"/>
      <c r="C20" s="28"/>
      <c r="D20" s="28"/>
      <c r="E20" s="28"/>
      <c r="F20" s="28"/>
      <c r="G20" s="28"/>
      <c r="H20" s="28"/>
      <c r="I20" s="28"/>
      <c r="J20" s="28"/>
      <c r="K20" s="28"/>
      <c r="L20" s="28"/>
      <c r="M20"/>
      <c r="N20"/>
      <c r="O20"/>
      <c r="P20"/>
      <c r="Q20"/>
      <c r="R20"/>
      <c r="S20"/>
    </row>
    <row r="21" spans="1:21" hidden="1" x14ac:dyDescent="0.2">
      <c r="I21"/>
      <c r="J21"/>
      <c r="K21"/>
      <c r="L21"/>
      <c r="M21"/>
      <c r="N21"/>
      <c r="O21"/>
      <c r="P21"/>
      <c r="Q21"/>
      <c r="R21"/>
      <c r="S21"/>
    </row>
    <row r="22" spans="1:21" hidden="1" x14ac:dyDescent="0.2">
      <c r="I22"/>
      <c r="J22"/>
      <c r="K22"/>
      <c r="L22"/>
      <c r="M22"/>
      <c r="N22"/>
      <c r="O22"/>
      <c r="P22"/>
      <c r="Q22"/>
      <c r="R22"/>
      <c r="S22"/>
    </row>
    <row r="23" spans="1:21" hidden="1" x14ac:dyDescent="0.2">
      <c r="I23"/>
      <c r="J23"/>
      <c r="K23"/>
      <c r="L23"/>
      <c r="M23"/>
      <c r="N23"/>
      <c r="O23"/>
      <c r="P23" t="s">
        <v>16</v>
      </c>
      <c r="Q23"/>
      <c r="R23"/>
      <c r="S23"/>
    </row>
    <row r="24" spans="1:21" hidden="1" x14ac:dyDescent="0.2">
      <c r="I24"/>
      <c r="J24"/>
      <c r="K24"/>
      <c r="L24"/>
      <c r="M24"/>
      <c r="N24"/>
      <c r="O24"/>
      <c r="P24"/>
      <c r="Q24"/>
      <c r="R24"/>
      <c r="S24"/>
    </row>
    <row r="25" spans="1:21" hidden="1" x14ac:dyDescent="0.2">
      <c r="I25"/>
      <c r="J25"/>
      <c r="K25"/>
      <c r="L25"/>
      <c r="M25"/>
      <c r="N25"/>
      <c r="O25"/>
      <c r="P25"/>
      <c r="Q25"/>
      <c r="R25"/>
      <c r="S25"/>
    </row>
    <row r="26" spans="1:21" hidden="1" x14ac:dyDescent="0.2">
      <c r="I26"/>
      <c r="J26"/>
      <c r="K26"/>
      <c r="L26"/>
      <c r="M26"/>
      <c r="N26"/>
      <c r="O26"/>
      <c r="P26"/>
      <c r="Q26"/>
      <c r="R26"/>
      <c r="S26"/>
    </row>
    <row r="27" spans="1:21" hidden="1" x14ac:dyDescent="0.2">
      <c r="I27"/>
      <c r="J27"/>
      <c r="K27"/>
      <c r="L27"/>
      <c r="M27"/>
      <c r="N27"/>
      <c r="O27"/>
      <c r="P27"/>
      <c r="Q27"/>
      <c r="R27"/>
      <c r="S27"/>
    </row>
    <row r="28" spans="1:21" hidden="1" x14ac:dyDescent="0.2">
      <c r="I28"/>
      <c r="J28"/>
      <c r="K28"/>
      <c r="L28"/>
      <c r="M28"/>
      <c r="N28"/>
      <c r="O28"/>
      <c r="P28"/>
      <c r="Q28"/>
      <c r="R28"/>
      <c r="S28"/>
    </row>
    <row r="29" spans="1:21" hidden="1" x14ac:dyDescent="0.2">
      <c r="I29"/>
      <c r="J29"/>
      <c r="K29"/>
      <c r="L29"/>
      <c r="M29"/>
      <c r="N29"/>
      <c r="O29"/>
      <c r="P29"/>
      <c r="Q29"/>
      <c r="R29"/>
      <c r="S29"/>
    </row>
    <row r="30" spans="1:21" hidden="1" x14ac:dyDescent="0.2">
      <c r="I30"/>
      <c r="J30"/>
      <c r="K30"/>
      <c r="L30"/>
      <c r="M30"/>
      <c r="N30"/>
      <c r="O30"/>
      <c r="P30"/>
      <c r="Q30"/>
      <c r="R30"/>
      <c r="S30"/>
    </row>
    <row r="31" spans="1:21" hidden="1" x14ac:dyDescent="0.2">
      <c r="I31"/>
      <c r="J31"/>
      <c r="K31"/>
      <c r="L31"/>
      <c r="M31"/>
      <c r="N31"/>
      <c r="O31"/>
      <c r="P31"/>
      <c r="Q31"/>
      <c r="R31"/>
      <c r="S31"/>
    </row>
    <row r="32" spans="1:21" hidden="1" x14ac:dyDescent="0.2">
      <c r="H32" s="20" t="s">
        <v>17</v>
      </c>
      <c r="I32"/>
      <c r="J32"/>
      <c r="K32"/>
      <c r="L32"/>
      <c r="M32"/>
      <c r="N32"/>
      <c r="O32"/>
      <c r="P32"/>
      <c r="Q32"/>
      <c r="R32"/>
      <c r="S32"/>
      <c r="T32" s="2">
        <v>30</v>
      </c>
      <c r="U32" s="2" t="s">
        <v>18</v>
      </c>
    </row>
    <row r="33" spans="1:21" ht="34.5" hidden="1" customHeight="1" x14ac:dyDescent="0.2">
      <c r="A33" s="33" t="s">
        <v>19</v>
      </c>
      <c r="B33" s="34"/>
      <c r="C33" s="34"/>
      <c r="D33" s="34"/>
      <c r="E33" s="34"/>
      <c r="F33" s="34"/>
      <c r="G33" s="34"/>
      <c r="H33" s="34"/>
      <c r="I33" s="34"/>
      <c r="J33" s="34"/>
      <c r="K33" s="34"/>
      <c r="L33" s="34"/>
      <c r="M33" s="34"/>
      <c r="N33" s="34"/>
      <c r="O33" s="34"/>
      <c r="P33" s="34"/>
      <c r="Q33">
        <v>1423500</v>
      </c>
      <c r="R33">
        <v>9.2899999999999991</v>
      </c>
      <c r="S33">
        <f>+S6</f>
        <v>9500</v>
      </c>
      <c r="T33" s="2">
        <v>7</v>
      </c>
    </row>
    <row r="34" spans="1:21" ht="48" hidden="1" x14ac:dyDescent="0.2">
      <c r="A34" s="6" t="s">
        <v>0</v>
      </c>
      <c r="B34" s="7" t="s">
        <v>1</v>
      </c>
      <c r="C34" s="7"/>
      <c r="D34" s="7"/>
      <c r="E34" s="7"/>
      <c r="F34" s="7"/>
      <c r="G34" s="7"/>
      <c r="H34" s="7"/>
      <c r="I34" s="16"/>
      <c r="J34" s="17" t="s">
        <v>20</v>
      </c>
      <c r="K34" s="7" t="s">
        <v>5</v>
      </c>
      <c r="L34" s="7" t="s">
        <v>6</v>
      </c>
      <c r="M34" s="17" t="s">
        <v>7</v>
      </c>
      <c r="N34" s="7" t="s">
        <v>8</v>
      </c>
      <c r="O34" s="7" t="s">
        <v>9</v>
      </c>
      <c r="P34" s="17" t="s">
        <v>10</v>
      </c>
      <c r="Q34"/>
      <c r="R34"/>
      <c r="S34"/>
    </row>
    <row r="35" spans="1:21" ht="80" hidden="1" x14ac:dyDescent="0.2">
      <c r="A35" s="11">
        <v>1</v>
      </c>
      <c r="B35" s="12" t="s">
        <v>11</v>
      </c>
      <c r="C35" s="12"/>
      <c r="D35" s="12"/>
      <c r="E35" s="12"/>
      <c r="F35" s="12"/>
      <c r="G35" s="12"/>
      <c r="H35" s="12"/>
      <c r="I35" s="12"/>
      <c r="J35" s="18">
        <f>(($Q$33*$R$33)+$S$33)</f>
        <v>13233814.999999998</v>
      </c>
      <c r="K35" s="18">
        <f>+J35*0.08</f>
        <v>1058705.2</v>
      </c>
      <c r="L35" s="18">
        <f>J35+K35</f>
        <v>14292520.199999997</v>
      </c>
      <c r="M35" s="18">
        <v>3116850</v>
      </c>
      <c r="N35" s="18">
        <f>(L35+M35)*0.1</f>
        <v>1740937.0199999996</v>
      </c>
      <c r="O35" s="18">
        <f>N35*0.19</f>
        <v>330778.03379999992</v>
      </c>
      <c r="P35" s="18">
        <f>O35+L35+M35</f>
        <v>17740148.233799998</v>
      </c>
      <c r="Q35"/>
      <c r="R35"/>
      <c r="S35"/>
    </row>
    <row r="36" spans="1:21" ht="48" hidden="1" x14ac:dyDescent="0.2">
      <c r="A36" s="11">
        <v>3</v>
      </c>
      <c r="B36" s="12" t="s">
        <v>12</v>
      </c>
      <c r="C36" s="12"/>
      <c r="D36" s="12"/>
      <c r="E36" s="12"/>
      <c r="F36" s="12"/>
      <c r="G36" s="12"/>
      <c r="H36" s="12"/>
      <c r="I36" s="12"/>
      <c r="J36" s="18">
        <f>8850000*1.1</f>
        <v>9735000</v>
      </c>
      <c r="K36" s="18"/>
      <c r="L36" s="18">
        <f>J36</f>
        <v>9735000</v>
      </c>
      <c r="M36" s="18">
        <f>3000000*1.1</f>
        <v>3300000.0000000005</v>
      </c>
      <c r="N36" s="18">
        <f>(L36+M36)*0.1</f>
        <v>1303500</v>
      </c>
      <c r="O36" s="18">
        <f>N36*0.19</f>
        <v>247665</v>
      </c>
      <c r="P36" s="18">
        <f>O36+L36+M36</f>
        <v>13282665</v>
      </c>
      <c r="Q36"/>
      <c r="R36"/>
      <c r="S36"/>
    </row>
    <row r="37" spans="1:21" ht="48" hidden="1" x14ac:dyDescent="0.2">
      <c r="A37" s="11">
        <v>4</v>
      </c>
      <c r="B37" s="12" t="s">
        <v>13</v>
      </c>
      <c r="C37" s="12"/>
      <c r="D37" s="12"/>
      <c r="E37" s="12"/>
      <c r="F37" s="12"/>
      <c r="G37" s="12"/>
      <c r="H37" s="12"/>
      <c r="I37" s="12"/>
      <c r="J37" s="18">
        <f>(((Q33+R37)*R33)+S33)</f>
        <v>16949815</v>
      </c>
      <c r="K37" s="18">
        <f>J37*0.08</f>
        <v>1355985.2</v>
      </c>
      <c r="L37" s="18">
        <f>J37+K37</f>
        <v>18305800.199999999</v>
      </c>
      <c r="M37" s="18"/>
      <c r="N37" s="18">
        <f>L37*0.1</f>
        <v>1830580.02</v>
      </c>
      <c r="O37" s="18">
        <f>+N37*0.19</f>
        <v>347810.20380000002</v>
      </c>
      <c r="P37" s="18">
        <f>O37+L37</f>
        <v>18653610.4038</v>
      </c>
      <c r="Q37"/>
      <c r="R37">
        <f>+R10</f>
        <v>400000</v>
      </c>
      <c r="S37"/>
    </row>
    <row r="38" spans="1:21" ht="48" hidden="1" x14ac:dyDescent="0.2">
      <c r="A38" s="11">
        <v>6</v>
      </c>
      <c r="B38" s="12" t="s">
        <v>14</v>
      </c>
      <c r="C38" s="12"/>
      <c r="D38" s="12"/>
      <c r="E38" s="12"/>
      <c r="F38" s="12"/>
      <c r="G38" s="12"/>
      <c r="H38" s="12"/>
      <c r="I38" s="12"/>
      <c r="J38" s="18">
        <f>((Q33*R33)+S33)*0.5597/15*12</f>
        <v>5925573.004399999</v>
      </c>
      <c r="K38" s="18">
        <f>J38*0.08</f>
        <v>474045.84035199991</v>
      </c>
      <c r="L38" s="18">
        <f>J38+K38</f>
        <v>6399618.8447519988</v>
      </c>
      <c r="M38" s="18"/>
      <c r="N38" s="18">
        <f>L38*0.1</f>
        <v>639961.88447519997</v>
      </c>
      <c r="O38" s="18">
        <f>+N38*0.19</f>
        <v>121592.758050288</v>
      </c>
      <c r="P38" s="18">
        <f>O38+L38</f>
        <v>6521211.6028022869</v>
      </c>
      <c r="Q38"/>
      <c r="R38"/>
      <c r="S38"/>
    </row>
    <row r="39" spans="1:21" ht="32" hidden="1" x14ac:dyDescent="0.2">
      <c r="A39" s="11">
        <v>7</v>
      </c>
      <c r="B39" s="12" t="s">
        <v>15</v>
      </c>
      <c r="C39" s="12"/>
      <c r="D39" s="12"/>
      <c r="E39" s="12"/>
      <c r="F39" s="12"/>
      <c r="G39" s="12"/>
      <c r="H39" s="12"/>
      <c r="I39" s="12"/>
      <c r="J39" s="18">
        <f>(($Q$33*$R$33)+$S$33)</f>
        <v>13233814.999999998</v>
      </c>
      <c r="K39" s="18">
        <f>+J39*0.08</f>
        <v>1058705.2</v>
      </c>
      <c r="L39" s="18">
        <f>J39+K39</f>
        <v>14292520.199999997</v>
      </c>
      <c r="M39" s="18">
        <f>250000*1.1</f>
        <v>275000</v>
      </c>
      <c r="N39" s="18">
        <f>(L39+M39)*0.1</f>
        <v>1456752.0199999998</v>
      </c>
      <c r="O39" s="18">
        <f>N39*0.19</f>
        <v>276782.88379999995</v>
      </c>
      <c r="P39" s="18">
        <f>O39+L39+M39</f>
        <v>14844303.083799997</v>
      </c>
      <c r="Q39"/>
      <c r="R39"/>
      <c r="S39"/>
    </row>
    <row r="40" spans="1:21" hidden="1" x14ac:dyDescent="0.2">
      <c r="I40"/>
      <c r="J40"/>
      <c r="K40"/>
      <c r="L40"/>
      <c r="M40"/>
      <c r="N40"/>
      <c r="O40" s="35" t="s">
        <v>21</v>
      </c>
      <c r="P40" s="35"/>
      <c r="Q40"/>
      <c r="R40"/>
      <c r="S40"/>
    </row>
    <row r="41" spans="1:21" hidden="1" x14ac:dyDescent="0.2">
      <c r="H41" s="20" t="s">
        <v>22</v>
      </c>
      <c r="I41"/>
      <c r="J41"/>
      <c r="K41"/>
      <c r="L41"/>
      <c r="M41"/>
      <c r="N41"/>
      <c r="O41" s="36"/>
      <c r="P41" s="36"/>
      <c r="Q41"/>
      <c r="R41"/>
      <c r="S41"/>
      <c r="T41" s="2">
        <v>7</v>
      </c>
      <c r="U41" s="2" t="s">
        <v>23</v>
      </c>
    </row>
    <row r="42" spans="1:21" hidden="1" x14ac:dyDescent="0.2">
      <c r="A42" s="37" t="s">
        <v>24</v>
      </c>
      <c r="B42" s="37"/>
      <c r="C42" s="37"/>
      <c r="D42" s="37"/>
      <c r="E42" s="37"/>
      <c r="F42" s="37"/>
      <c r="G42" s="37"/>
      <c r="H42" s="37"/>
      <c r="I42"/>
      <c r="J42"/>
      <c r="K42"/>
      <c r="L42"/>
      <c r="M42"/>
      <c r="N42"/>
      <c r="O42"/>
      <c r="P42"/>
      <c r="Q42"/>
      <c r="R42"/>
      <c r="S42"/>
    </row>
    <row r="43" spans="1:21" hidden="1" x14ac:dyDescent="0.2">
      <c r="I43"/>
      <c r="J43"/>
      <c r="K43"/>
      <c r="L43" s="19">
        <v>2251126231</v>
      </c>
      <c r="M43"/>
      <c r="N43"/>
      <c r="O43"/>
      <c r="P43"/>
      <c r="Q43"/>
      <c r="R43"/>
      <c r="S43"/>
    </row>
    <row r="44" spans="1:21" ht="15" hidden="1" customHeight="1" x14ac:dyDescent="0.2">
      <c r="A44" s="28" t="s">
        <v>25</v>
      </c>
      <c r="B44" s="28"/>
      <c r="C44" s="28"/>
      <c r="D44" s="28"/>
      <c r="E44" s="28"/>
      <c r="F44" s="28"/>
      <c r="G44" s="28"/>
      <c r="H44" s="28"/>
    </row>
    <row r="45" spans="1:21" hidden="1" x14ac:dyDescent="0.2">
      <c r="A45" s="28"/>
      <c r="B45" s="28"/>
      <c r="C45" s="28"/>
      <c r="D45" s="28"/>
      <c r="E45" s="28"/>
      <c r="F45" s="28"/>
      <c r="G45" s="28"/>
      <c r="H45" s="28"/>
    </row>
    <row r="46" spans="1:21" hidden="1" x14ac:dyDescent="0.2">
      <c r="A46" s="28"/>
      <c r="B46" s="28"/>
      <c r="C46" s="28"/>
      <c r="D46" s="28"/>
      <c r="E46" s="28"/>
      <c r="F46" s="28"/>
      <c r="G46" s="28"/>
      <c r="H46" s="28"/>
    </row>
    <row r="47" spans="1:21" hidden="1" x14ac:dyDescent="0.2">
      <c r="A47" s="28"/>
      <c r="B47" s="28"/>
      <c r="C47" s="28"/>
      <c r="D47" s="28"/>
      <c r="E47" s="28"/>
      <c r="F47" s="28"/>
      <c r="G47" s="28"/>
      <c r="H47" s="28"/>
    </row>
    <row r="48" spans="1:21" hidden="1" x14ac:dyDescent="0.2">
      <c r="A48" s="28"/>
      <c r="B48" s="28"/>
      <c r="C48" s="28"/>
      <c r="D48" s="28"/>
      <c r="E48" s="28"/>
      <c r="F48" s="28"/>
      <c r="G48" s="28"/>
      <c r="H48" s="28"/>
    </row>
    <row r="49" spans="1:8" hidden="1" x14ac:dyDescent="0.2">
      <c r="A49" s="28"/>
      <c r="B49" s="28"/>
      <c r="C49" s="28"/>
      <c r="D49" s="28"/>
      <c r="E49" s="28"/>
      <c r="F49" s="28"/>
      <c r="G49" s="28"/>
      <c r="H49" s="28"/>
    </row>
    <row r="50" spans="1:8" hidden="1" x14ac:dyDescent="0.2">
      <c r="A50" s="28"/>
      <c r="B50" s="28"/>
      <c r="C50" s="28"/>
      <c r="D50" s="28"/>
      <c r="E50" s="28"/>
      <c r="F50" s="28"/>
      <c r="G50" s="28"/>
      <c r="H50" s="28"/>
    </row>
    <row r="51" spans="1:8" hidden="1" x14ac:dyDescent="0.2">
      <c r="A51" s="28"/>
      <c r="B51" s="28"/>
      <c r="C51" s="28"/>
      <c r="D51" s="28"/>
      <c r="E51" s="28"/>
      <c r="F51" s="28"/>
      <c r="G51" s="28"/>
      <c r="H51" s="28"/>
    </row>
    <row r="52" spans="1:8" hidden="1" x14ac:dyDescent="0.2">
      <c r="A52" s="28"/>
      <c r="B52" s="28"/>
      <c r="C52" s="28"/>
      <c r="D52" s="28"/>
      <c r="E52" s="28"/>
      <c r="F52" s="28"/>
      <c r="G52" s="28"/>
      <c r="H52" s="28"/>
    </row>
    <row r="53" spans="1:8" hidden="1" x14ac:dyDescent="0.2">
      <c r="A53" s="28"/>
      <c r="B53" s="28"/>
      <c r="C53" s="28"/>
      <c r="D53" s="28"/>
      <c r="E53" s="28"/>
      <c r="F53" s="28"/>
      <c r="G53" s="28"/>
      <c r="H53" s="28"/>
    </row>
    <row r="54" spans="1:8" hidden="1" x14ac:dyDescent="0.2">
      <c r="A54" s="28"/>
      <c r="B54" s="28"/>
      <c r="C54" s="28"/>
      <c r="D54" s="28"/>
      <c r="E54" s="28"/>
      <c r="F54" s="28"/>
      <c r="G54" s="28"/>
      <c r="H54" s="28"/>
    </row>
    <row r="55" spans="1:8" hidden="1" x14ac:dyDescent="0.2">
      <c r="A55" s="28"/>
      <c r="B55" s="28"/>
      <c r="C55" s="28"/>
      <c r="D55" s="28"/>
      <c r="E55" s="28"/>
      <c r="F55" s="28"/>
      <c r="G55" s="28"/>
      <c r="H55" s="28"/>
    </row>
    <row r="56" spans="1:8" hidden="1" x14ac:dyDescent="0.2">
      <c r="A56" s="28"/>
      <c r="B56" s="28"/>
      <c r="C56" s="28"/>
      <c r="D56" s="28"/>
      <c r="E56" s="28"/>
      <c r="F56" s="28"/>
      <c r="G56" s="28"/>
      <c r="H56" s="28"/>
    </row>
    <row r="57" spans="1:8" hidden="1" x14ac:dyDescent="0.2">
      <c r="A57" s="28"/>
      <c r="B57" s="28"/>
      <c r="C57" s="28"/>
      <c r="D57" s="28"/>
      <c r="E57" s="28"/>
      <c r="F57" s="28"/>
      <c r="G57" s="28"/>
      <c r="H57" s="28"/>
    </row>
    <row r="58" spans="1:8" hidden="1" x14ac:dyDescent="0.2">
      <c r="A58" s="28"/>
      <c r="B58" s="28"/>
      <c r="C58" s="28"/>
      <c r="D58" s="28"/>
      <c r="E58" s="28"/>
      <c r="F58" s="28"/>
      <c r="G58" s="28"/>
      <c r="H58" s="28"/>
    </row>
    <row r="59" spans="1:8" hidden="1" x14ac:dyDescent="0.2">
      <c r="A59" s="28"/>
      <c r="B59" s="28"/>
      <c r="C59" s="28"/>
      <c r="D59" s="28"/>
      <c r="E59" s="28"/>
      <c r="F59" s="28"/>
      <c r="G59" s="28"/>
      <c r="H59" s="28"/>
    </row>
    <row r="60" spans="1:8" hidden="1" x14ac:dyDescent="0.2"/>
    <row r="61" spans="1:8" hidden="1" x14ac:dyDescent="0.2"/>
  </sheetData>
  <mergeCells count="12">
    <mergeCell ref="A44:H59"/>
    <mergeCell ref="A2:H4"/>
    <mergeCell ref="A6:H6"/>
    <mergeCell ref="E13:G13"/>
    <mergeCell ref="O13:P13"/>
    <mergeCell ref="E14:G14"/>
    <mergeCell ref="O14:P14"/>
    <mergeCell ref="A17:L20"/>
    <mergeCell ref="A33:P33"/>
    <mergeCell ref="O40:P40"/>
    <mergeCell ref="O41:P41"/>
    <mergeCell ref="A42:H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Promedios</vt:lpstr>
      <vt:lpstr>Cotizacion No. 1</vt:lpstr>
      <vt:lpstr>Cotizacion No. 2</vt:lpstr>
      <vt:lpstr>Cotizacion No. 3</vt:lpstr>
      <vt:lpstr>Promedios!Área_de_impresión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Licitaciones Seguridad Fenix</dc:creator>
  <cp:lastModifiedBy>Solicitudes Contratación</cp:lastModifiedBy>
  <dcterms:created xsi:type="dcterms:W3CDTF">2025-06-26T19:40:26Z</dcterms:created>
  <dcterms:modified xsi:type="dcterms:W3CDTF">2025-07-24T13:36:24Z</dcterms:modified>
</cp:coreProperties>
</file>